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325" activeTab="0"/>
  </bookViews>
  <sheets>
    <sheet name="Notes" sheetId="1" r:id="rId1"/>
    <sheet name="Power Curve" sheetId="2" r:id="rId2"/>
    <sheet name="Betz Limit" sheetId="3" r:id="rId3"/>
  </sheets>
  <definedNames/>
  <calcPr fullCalcOnLoad="1"/>
</workbook>
</file>

<file path=xl/sharedStrings.xml><?xml version="1.0" encoding="utf-8"?>
<sst xmlns="http://schemas.openxmlformats.org/spreadsheetml/2006/main" count="76" uniqueCount="54">
  <si>
    <t>% of Time at Speed</t>
  </si>
  <si>
    <t>Hrs/yr at Speed</t>
  </si>
  <si>
    <t>Annual Power</t>
  </si>
  <si>
    <t>and this</t>
  </si>
  <si>
    <t>Hub Height</t>
  </si>
  <si>
    <t>Height Speed Measured at</t>
  </si>
  <si>
    <t xml:space="preserve">Enter these  </t>
  </si>
  <si>
    <t>Cut In Speed</t>
  </si>
  <si>
    <t>Furling Speed</t>
  </si>
  <si>
    <t>Rotor Diameter</t>
  </si>
  <si>
    <t>Hub Height Wind Speed</t>
  </si>
  <si>
    <t>Measured Wind Speed</t>
  </si>
  <si>
    <t>Avg Wind Speed (mph)</t>
  </si>
  <si>
    <t>Wind Power Density (WPD)</t>
  </si>
  <si>
    <r>
      <t xml:space="preserve">Altitude </t>
    </r>
    <r>
      <rPr>
        <sz val="10"/>
        <rFont val="Arial"/>
        <family val="0"/>
      </rPr>
      <t>(above sea level)</t>
    </r>
  </si>
  <si>
    <t>Open agricultural land with few houses fences or trees</t>
  </si>
  <si>
    <t>Agricultrual land with many houses fences or trees</t>
  </si>
  <si>
    <t>Village, small town, or forest</t>
  </si>
  <si>
    <t>Large city</t>
  </si>
  <si>
    <t>X</t>
  </si>
  <si>
    <t xml:space="preserve">Annual Power Production Estimate (English Units) = </t>
  </si>
  <si>
    <t>Potential KW at Speed</t>
  </si>
  <si>
    <t>KWH (cumulative power) at Speed</t>
  </si>
  <si>
    <t>Estimated KW at speed</t>
  </si>
  <si>
    <t>% of Betz Limit (efficiency)</t>
  </si>
  <si>
    <t>Value from Power Curve at Hub Height Speed (in Watts)</t>
  </si>
  <si>
    <t>Power Curve Corrected for Altitude (in Watts)</t>
  </si>
  <si>
    <t>Hub Height Wind Speed (includes terrain)</t>
  </si>
  <si>
    <t>Annual Wind Power Estimator</t>
  </si>
  <si>
    <t>General Notes</t>
  </si>
  <si>
    <t>Frequently, people ask if 'wind generator X' will provide enough power for their domestic needs.  This question quickly boils down to 2 points.
1)  How much electricity do I use/need.
2)  How much electricity can I expect 'wind generator X' to produce.
This sheet is designed to help answer question 2.</t>
  </si>
  <si>
    <t>I use English units (feet and miles per hour) for the input values.  There are formulas that convert this all to metric for the calculations.  I could make a metric version too if it would be useful.
There are three worksheets (tabs) to this file.  The first tab (this one) is some basic instructions.  The other two are explained below.</t>
  </si>
  <si>
    <t>Terrain (mark one of the choices below):</t>
  </si>
  <si>
    <t>You will need to enter the following values into the sheet:</t>
  </si>
  <si>
    <r>
      <t>Power Curve Notes:</t>
    </r>
    <r>
      <rPr>
        <sz val="10"/>
        <rFont val="Arial"/>
        <family val="0"/>
      </rPr>
      <t xml:space="preserve">  This worksheet assumes you are looking at a commercial wind generator.  These generators should come with a power curve.  </t>
    </r>
  </si>
  <si>
    <r>
      <t xml:space="preserve">Betz Limit Notes: </t>
    </r>
    <r>
      <rPr>
        <sz val="10"/>
        <rFont val="Arial"/>
        <family val="0"/>
      </rPr>
      <t xml:space="preserve"> This worksheet assumes you are looking to make a homebrew wind generator.  This could also be used with a used generator that has no power curve available.  </t>
    </r>
  </si>
  <si>
    <r>
      <t xml:space="preserve">Average Wind Speed </t>
    </r>
    <r>
      <rPr>
        <sz val="10"/>
        <rFont val="Arial"/>
        <family val="0"/>
      </rPr>
      <t>(in miles per hour.  Use a wind map to estimate the wind speed in your area if you do not know, try this one http://rredc.nrel.gov/wind/pubs/atlas/maps.html#2-6)</t>
    </r>
  </si>
  <si>
    <r>
      <t>Measurement Height</t>
    </r>
    <r>
      <rPr>
        <sz val="10"/>
        <rFont val="Arial"/>
        <family val="0"/>
      </rPr>
      <t xml:space="preserve"> (the height that measurement was taken.  30 feet if from a weather station, otherwise it is the height you measured from.  If in doubt, use 30 feet)</t>
    </r>
  </si>
  <si>
    <r>
      <t xml:space="preserve">The </t>
    </r>
    <r>
      <rPr>
        <b/>
        <sz val="10"/>
        <rFont val="Arial"/>
        <family val="2"/>
      </rPr>
      <t>Hub Height</t>
    </r>
    <r>
      <rPr>
        <sz val="10"/>
        <rFont val="Arial"/>
        <family val="0"/>
      </rPr>
      <t xml:space="preserve"> of your proposed wind generator (tower height)</t>
    </r>
  </si>
  <si>
    <r>
      <t xml:space="preserve">The </t>
    </r>
    <r>
      <rPr>
        <b/>
        <sz val="10"/>
        <rFont val="Arial"/>
        <family val="2"/>
      </rPr>
      <t>Altitude</t>
    </r>
    <r>
      <rPr>
        <sz val="10"/>
        <rFont val="Arial"/>
        <family val="0"/>
      </rPr>
      <t xml:space="preserve"> at your location (estimates are ok, will assume sea level if left blank)</t>
    </r>
  </si>
  <si>
    <r>
      <t xml:space="preserve">The type of </t>
    </r>
    <r>
      <rPr>
        <b/>
        <sz val="10"/>
        <rFont val="Arial"/>
        <family val="2"/>
      </rPr>
      <t>Terrain</t>
    </r>
    <r>
      <rPr>
        <sz val="10"/>
        <rFont val="Arial"/>
        <family val="0"/>
      </rPr>
      <t xml:space="preserve"> you will put the wind generator in (check one of the boxes with an X.</t>
    </r>
  </si>
  <si>
    <r>
      <t xml:space="preserve">The values from the </t>
    </r>
    <r>
      <rPr>
        <b/>
        <sz val="10"/>
        <rFont val="Arial"/>
        <family val="2"/>
      </rPr>
      <t>Power Curve</t>
    </r>
    <r>
      <rPr>
        <sz val="10"/>
        <rFont val="Arial"/>
        <family val="0"/>
      </rPr>
      <t>. These are the basis of output calculations.  You will have to read the output values from the power curve, convert them to Watts, then enter them in column E in the table at the bottom of this sheet.</t>
    </r>
  </si>
  <si>
    <r>
      <t>Average Wind Speed</t>
    </r>
    <r>
      <rPr>
        <sz val="10"/>
        <rFont val="Arial"/>
        <family val="0"/>
      </rPr>
      <t xml:space="preserve"> (in miles per hour.  Use a wind map to estimate the wind speed in your area if you do not know, try this one http://rredc.nrel.gov/wind/pubs/atlas/maps.html#2-6)</t>
    </r>
  </si>
  <si>
    <r>
      <t xml:space="preserve">The </t>
    </r>
    <r>
      <rPr>
        <b/>
        <sz val="10"/>
        <rFont val="Arial"/>
        <family val="2"/>
      </rPr>
      <t>% Betz Limit</t>
    </r>
    <r>
      <rPr>
        <sz val="10"/>
        <rFont val="Arial"/>
        <family val="0"/>
      </rPr>
      <t>:  This reflects how effecient your generator is.  I do not know what values should go here, but enter them as a value between 0 and 1 and it will display as a percentage.  I put .5 (50%) as a starting value but am not sure if that is feasible for most homebrew units or not.</t>
    </r>
  </si>
  <si>
    <r>
      <t xml:space="preserve">Rotor Diameter </t>
    </r>
    <r>
      <rPr>
        <sz val="10"/>
        <rFont val="Arial"/>
        <family val="0"/>
      </rPr>
      <t>- the diameter of the blades of the wind generator in feet.</t>
    </r>
  </si>
  <si>
    <r>
      <t>Cut In Speed</t>
    </r>
    <r>
      <rPr>
        <sz val="10"/>
        <rFont val="Arial"/>
        <family val="0"/>
      </rPr>
      <t xml:space="preserve"> - the speed at which the geneartor begins to produce power, use miles per hour</t>
    </r>
  </si>
  <si>
    <r>
      <t>Furling Speed</t>
    </r>
    <r>
      <rPr>
        <sz val="10"/>
        <rFont val="Arial"/>
        <family val="0"/>
      </rPr>
      <t xml:space="preserve"> - the speed (in miles per hour) at which the generator turns itself out of the wind to protect itself.  The calculations show 0 power generated in this case.  If that is a poor assumption, hopefully someone will let me know.</t>
    </r>
  </si>
  <si>
    <t>Resources used:</t>
  </si>
  <si>
    <t>Lessons 1-3 from the Oklahoma Windpower Tutorial Series</t>
  </si>
  <si>
    <t>Danish Wind Inustry Association website</t>
  </si>
  <si>
    <t>www.windpower.org</t>
  </si>
  <si>
    <t>www.seic.okstate.edu/OWPI/About/Library/report_qtr1.pdf</t>
  </si>
  <si>
    <t>www.wmrc.uiuc.edu/main_sections/tech_assist/wind-energy.pdf</t>
  </si>
  <si>
    <t>Wind Energy - a paper written by the staff of Univeristy of Illinois Chicago-Circle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</si>
</sst>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
  </numFmts>
  <fonts count="9">
    <font>
      <sz val="10"/>
      <name val="Arial"/>
      <family val="0"/>
    </font>
    <font>
      <sz val="8"/>
      <name val="Arial"/>
      <family val="0"/>
    </font>
    <font>
      <sz val="10"/>
      <color indexed="23"/>
      <name val="Arial"/>
      <family val="0"/>
    </font>
    <font>
      <b/>
      <sz val="10"/>
      <name val="Arial"/>
      <family val="2"/>
    </font>
    <font>
      <b/>
      <sz val="14"/>
      <name val="Arial"/>
      <family val="2"/>
    </font>
    <font>
      <b/>
      <sz val="12"/>
      <name val="Arial"/>
      <family val="2"/>
    </font>
    <font>
      <sz val="10"/>
      <color indexed="9"/>
      <name val="Arial"/>
      <family val="0"/>
    </font>
    <font>
      <u val="single"/>
      <sz val="10"/>
      <color indexed="12"/>
      <name val="Arial"/>
      <family val="0"/>
    </font>
    <font>
      <u val="single"/>
      <sz val="10"/>
      <color indexed="36"/>
      <name val="Arial"/>
      <family val="0"/>
    </font>
  </fonts>
  <fills count="2">
    <fill>
      <patternFill/>
    </fill>
    <fill>
      <patternFill patternType="gray125"/>
    </fill>
  </fills>
  <borders count="9">
    <border>
      <left/>
      <right/>
      <top/>
      <bottom/>
      <diagonal/>
    </border>
    <border>
      <left style="thin"/>
      <right style="thin"/>
      <top style="thin"/>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horizontal="center"/>
    </xf>
    <xf numFmtId="0" fontId="0" fillId="0" borderId="0" xfId="0" applyAlignment="1">
      <alignment horizontal="right"/>
    </xf>
    <xf numFmtId="164" fontId="0" fillId="0" borderId="1" xfId="0" applyNumberFormat="1" applyBorder="1" applyAlignment="1">
      <alignment horizontal="center"/>
    </xf>
    <xf numFmtId="0" fontId="2" fillId="0" borderId="1" xfId="0" applyFont="1" applyBorder="1" applyAlignment="1">
      <alignment horizontal="center"/>
    </xf>
    <xf numFmtId="10" fontId="2" fillId="0" borderId="1" xfId="0" applyNumberFormat="1" applyFont="1" applyBorder="1" applyAlignment="1">
      <alignment/>
    </xf>
    <xf numFmtId="164" fontId="2" fillId="0" borderId="1" xfId="0" applyNumberFormat="1" applyFont="1" applyBorder="1" applyAlignment="1">
      <alignment/>
    </xf>
    <xf numFmtId="0" fontId="3" fillId="0" borderId="1" xfId="0" applyFont="1" applyFill="1" applyBorder="1" applyAlignment="1">
      <alignment horizontal="center" wrapText="1"/>
    </xf>
    <xf numFmtId="164" fontId="3" fillId="0" borderId="1" xfId="0" applyNumberFormat="1" applyFont="1" applyBorder="1" applyAlignment="1">
      <alignment horizontal="center"/>
    </xf>
    <xf numFmtId="0" fontId="3" fillId="0" borderId="0" xfId="0" applyFont="1" applyAlignment="1">
      <alignment/>
    </xf>
    <xf numFmtId="164" fontId="3" fillId="0" borderId="0" xfId="0" applyNumberFormat="1" applyFont="1" applyAlignment="1">
      <alignment/>
    </xf>
    <xf numFmtId="0" fontId="3" fillId="0" borderId="0" xfId="0" applyFont="1" applyAlignment="1">
      <alignment horizontal="right"/>
    </xf>
    <xf numFmtId="0" fontId="3" fillId="0" borderId="1" xfId="0" applyFont="1" applyBorder="1" applyAlignment="1">
      <alignment horizontal="center" wrapText="1"/>
    </xf>
    <xf numFmtId="0" fontId="0" fillId="0" borderId="0" xfId="0" applyBorder="1" applyAlignment="1">
      <alignment horizontal="center"/>
    </xf>
    <xf numFmtId="0" fontId="4" fillId="0" borderId="0" xfId="0" applyFont="1" applyAlignment="1">
      <alignment/>
    </xf>
    <xf numFmtId="0" fontId="4" fillId="0" borderId="0" xfId="0" applyFont="1" applyAlignment="1">
      <alignment horizontal="center"/>
    </xf>
    <xf numFmtId="0" fontId="0" fillId="0" borderId="0" xfId="0" applyAlignment="1">
      <alignment vertical="center"/>
    </xf>
    <xf numFmtId="0" fontId="3" fillId="0" borderId="0" xfId="0" applyFont="1" applyAlignment="1">
      <alignment horizontal="right" vertical="center"/>
    </xf>
    <xf numFmtId="0" fontId="4" fillId="0" borderId="1" xfId="0" applyFont="1" applyBorder="1" applyAlignment="1">
      <alignment horizontal="center" vertical="center"/>
    </xf>
    <xf numFmtId="0" fontId="3" fillId="0" borderId="0" xfId="0" applyFont="1" applyFill="1" applyBorder="1" applyAlignment="1">
      <alignment horizontal="right" vertical="center"/>
    </xf>
    <xf numFmtId="10" fontId="4" fillId="0" borderId="1" xfId="0" applyNumberFormat="1" applyFont="1" applyBorder="1" applyAlignment="1">
      <alignment horizontal="center" vertical="center"/>
    </xf>
    <xf numFmtId="165" fontId="3" fillId="0" borderId="1" xfId="0" applyNumberFormat="1" applyFont="1" applyBorder="1" applyAlignment="1">
      <alignment horizontal="center" wrapText="1"/>
    </xf>
    <xf numFmtId="165" fontId="0" fillId="0" borderId="1" xfId="0" applyNumberFormat="1" applyBorder="1" applyAlignment="1">
      <alignment horizontal="center"/>
    </xf>
    <xf numFmtId="0" fontId="4" fillId="0" borderId="0" xfId="0" applyFont="1" applyBorder="1" applyAlignment="1">
      <alignment horizontal="center" vertical="center"/>
    </xf>
    <xf numFmtId="10" fontId="4" fillId="0" borderId="0" xfId="0" applyNumberFormat="1" applyFont="1" applyBorder="1" applyAlignment="1">
      <alignment horizontal="center" vertical="center"/>
    </xf>
    <xf numFmtId="0" fontId="5" fillId="0" borderId="0" xfId="0" applyFont="1" applyAlignment="1">
      <alignment horizontal="right"/>
    </xf>
    <xf numFmtId="0" fontId="0" fillId="0" borderId="1" xfId="0" applyBorder="1" applyAlignment="1">
      <alignment horizontal="right" vertical="center" wrapText="1"/>
    </xf>
    <xf numFmtId="164" fontId="4" fillId="0" borderId="0" xfId="0" applyNumberFormat="1" applyFont="1" applyAlignment="1">
      <alignment horizontal="left"/>
    </xf>
    <xf numFmtId="10" fontId="4" fillId="0" borderId="2" xfId="0" applyNumberFormat="1" applyFont="1" applyBorder="1" applyAlignment="1">
      <alignment horizontal="center" vertical="center"/>
    </xf>
    <xf numFmtId="1" fontId="0" fillId="0" borderId="1" xfId="0" applyNumberFormat="1" applyBorder="1" applyAlignment="1">
      <alignment horizontal="center"/>
    </xf>
    <xf numFmtId="167" fontId="3" fillId="0" borderId="0" xfId="0" applyNumberFormat="1" applyFont="1" applyAlignment="1">
      <alignment horizontal="center"/>
    </xf>
    <xf numFmtId="0" fontId="0" fillId="0" borderId="0" xfId="0" applyBorder="1" applyAlignment="1">
      <alignment/>
    </xf>
    <xf numFmtId="0" fontId="0" fillId="0" borderId="0" xfId="0" applyBorder="1" applyAlignment="1">
      <alignment horizontal="right"/>
    </xf>
    <xf numFmtId="10" fontId="0" fillId="0" borderId="0" xfId="0" applyNumberFormat="1" applyBorder="1" applyAlignment="1">
      <alignment/>
    </xf>
    <xf numFmtId="164" fontId="0" fillId="0" borderId="0" xfId="0" applyNumberFormat="1" applyBorder="1" applyAlignment="1">
      <alignment/>
    </xf>
    <xf numFmtId="0" fontId="4" fillId="0" borderId="0" xfId="0" applyFont="1" applyBorder="1" applyAlignment="1">
      <alignment horizontal="left"/>
    </xf>
    <xf numFmtId="0" fontId="0" fillId="0" borderId="0" xfId="0" applyBorder="1" applyAlignment="1">
      <alignment horizontal="left"/>
    </xf>
    <xf numFmtId="0" fontId="5" fillId="0" borderId="0" xfId="0" applyFont="1" applyBorder="1" applyAlignment="1">
      <alignment horizontal="left"/>
    </xf>
    <xf numFmtId="0" fontId="0" fillId="0" borderId="0" xfId="0" applyBorder="1" applyAlignment="1">
      <alignment horizontal="left" wrapText="1"/>
    </xf>
    <xf numFmtId="0" fontId="6"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left" wrapText="1"/>
    </xf>
    <xf numFmtId="0" fontId="6" fillId="0" borderId="0" xfId="0" applyFont="1" applyAlignment="1">
      <alignment horizontal="right" wrapText="1"/>
    </xf>
    <xf numFmtId="0" fontId="0" fillId="0" borderId="0" xfId="0" applyBorder="1" applyAlignment="1">
      <alignment horizontal="left" wrapText="1"/>
    </xf>
    <xf numFmtId="10" fontId="0" fillId="0" borderId="0" xfId="0" applyNumberFormat="1" applyBorder="1" applyAlignment="1">
      <alignment horizontal="left" wrapText="1"/>
    </xf>
    <xf numFmtId="0" fontId="3" fillId="0" borderId="3" xfId="0" applyFont="1" applyBorder="1" applyAlignment="1">
      <alignment horizontal="left" wrapText="1"/>
    </xf>
    <xf numFmtId="0" fontId="5" fillId="0" borderId="4" xfId="0" applyFont="1" applyBorder="1" applyAlignment="1">
      <alignment horizontal="left" vertical="top" wrapText="1"/>
    </xf>
    <xf numFmtId="0" fontId="0" fillId="0" borderId="4" xfId="0" applyBorder="1" applyAlignment="1">
      <alignment horizontal="left" wrapText="1"/>
    </xf>
    <xf numFmtId="0" fontId="0" fillId="0" borderId="5" xfId="0" applyBorder="1" applyAlignment="1">
      <alignment horizontal="left" wrapText="1"/>
    </xf>
    <xf numFmtId="164" fontId="3" fillId="0" borderId="3" xfId="0" applyNumberFormat="1" applyFont="1" applyBorder="1" applyAlignment="1">
      <alignment horizontal="left" wrapText="1"/>
    </xf>
    <xf numFmtId="164" fontId="0" fillId="0" borderId="4" xfId="0" applyNumberFormat="1" applyBorder="1" applyAlignment="1">
      <alignment horizontal="left" wrapText="1"/>
    </xf>
    <xf numFmtId="0" fontId="3" fillId="0" borderId="4" xfId="0" applyFont="1" applyBorder="1" applyAlignment="1">
      <alignment horizontal="left" wrapText="1"/>
    </xf>
    <xf numFmtId="164" fontId="3" fillId="0" borderId="4" xfId="0" applyNumberFormat="1" applyFont="1" applyBorder="1" applyAlignment="1">
      <alignment horizontal="left" wrapText="1"/>
    </xf>
    <xf numFmtId="164" fontId="3" fillId="0" borderId="5" xfId="0" applyNumberFormat="1" applyFont="1" applyBorder="1" applyAlignment="1">
      <alignment horizontal="left" wrapText="1"/>
    </xf>
    <xf numFmtId="0" fontId="3" fillId="0" borderId="0" xfId="0" applyFont="1" applyBorder="1" applyAlignment="1">
      <alignment horizontal="left"/>
    </xf>
    <xf numFmtId="0" fontId="0" fillId="0" borderId="6" xfId="0" applyBorder="1" applyAlignment="1">
      <alignment horizontal="left"/>
    </xf>
    <xf numFmtId="10" fontId="0" fillId="0" borderId="7" xfId="0" applyNumberFormat="1" applyBorder="1" applyAlignment="1">
      <alignment/>
    </xf>
    <xf numFmtId="164" fontId="7" fillId="0" borderId="8" xfId="20" applyNumberFormat="1" applyBorder="1" applyAlignment="1">
      <alignment/>
    </xf>
    <xf numFmtId="0" fontId="0" fillId="0" borderId="6" xfId="0"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3</xdr:row>
      <xdr:rowOff>28575</xdr:rowOff>
    </xdr:from>
    <xdr:to>
      <xdr:col>2</xdr:col>
      <xdr:colOff>9525</xdr:colOff>
      <xdr:row>6</xdr:row>
      <xdr:rowOff>0</xdr:rowOff>
    </xdr:to>
    <xdr:sp>
      <xdr:nvSpPr>
        <xdr:cNvPr id="1" name="Line 1"/>
        <xdr:cNvSpPr>
          <a:spLocks/>
        </xdr:cNvSpPr>
      </xdr:nvSpPr>
      <xdr:spPr>
        <a:xfrm>
          <a:off x="581025" y="581025"/>
          <a:ext cx="12858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2</xdr:row>
      <xdr:rowOff>95250</xdr:rowOff>
    </xdr:from>
    <xdr:to>
      <xdr:col>3</xdr:col>
      <xdr:colOff>257175</xdr:colOff>
      <xdr:row>6</xdr:row>
      <xdr:rowOff>19050</xdr:rowOff>
    </xdr:to>
    <xdr:sp>
      <xdr:nvSpPr>
        <xdr:cNvPr id="2" name="Line 2"/>
        <xdr:cNvSpPr>
          <a:spLocks/>
        </xdr:cNvSpPr>
      </xdr:nvSpPr>
      <xdr:spPr>
        <a:xfrm>
          <a:off x="1514475" y="485775"/>
          <a:ext cx="13144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3</xdr:row>
      <xdr:rowOff>28575</xdr:rowOff>
    </xdr:from>
    <xdr:to>
      <xdr:col>2</xdr:col>
      <xdr:colOff>9525</xdr:colOff>
      <xdr:row>6</xdr:row>
      <xdr:rowOff>0</xdr:rowOff>
    </xdr:to>
    <xdr:sp>
      <xdr:nvSpPr>
        <xdr:cNvPr id="3" name="Line 4"/>
        <xdr:cNvSpPr>
          <a:spLocks/>
        </xdr:cNvSpPr>
      </xdr:nvSpPr>
      <xdr:spPr>
        <a:xfrm>
          <a:off x="581025" y="581025"/>
          <a:ext cx="12858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6</xdr:row>
      <xdr:rowOff>19050</xdr:rowOff>
    </xdr:from>
    <xdr:to>
      <xdr:col>3</xdr:col>
      <xdr:colOff>266700</xdr:colOff>
      <xdr:row>11</xdr:row>
      <xdr:rowOff>285750</xdr:rowOff>
    </xdr:to>
    <xdr:sp>
      <xdr:nvSpPr>
        <xdr:cNvPr id="4" name="Line 5"/>
        <xdr:cNvSpPr>
          <a:spLocks/>
        </xdr:cNvSpPr>
      </xdr:nvSpPr>
      <xdr:spPr>
        <a:xfrm>
          <a:off x="2838450" y="1057275"/>
          <a:ext cx="0" cy="2352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12</xdr:row>
      <xdr:rowOff>9525</xdr:rowOff>
    </xdr:from>
    <xdr:to>
      <xdr:col>4</xdr:col>
      <xdr:colOff>238125</xdr:colOff>
      <xdr:row>13</xdr:row>
      <xdr:rowOff>123825</xdr:rowOff>
    </xdr:to>
    <xdr:sp>
      <xdr:nvSpPr>
        <xdr:cNvPr id="5" name="Line 6"/>
        <xdr:cNvSpPr>
          <a:spLocks/>
        </xdr:cNvSpPr>
      </xdr:nvSpPr>
      <xdr:spPr>
        <a:xfrm>
          <a:off x="2838450" y="3429000"/>
          <a:ext cx="68580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3</xdr:row>
      <xdr:rowOff>28575</xdr:rowOff>
    </xdr:from>
    <xdr:to>
      <xdr:col>5</xdr:col>
      <xdr:colOff>561975</xdr:colOff>
      <xdr:row>5</xdr:row>
      <xdr:rowOff>142875</xdr:rowOff>
    </xdr:to>
    <xdr:sp>
      <xdr:nvSpPr>
        <xdr:cNvPr id="6" name="Line 7"/>
        <xdr:cNvSpPr>
          <a:spLocks/>
        </xdr:cNvSpPr>
      </xdr:nvSpPr>
      <xdr:spPr>
        <a:xfrm>
          <a:off x="600075" y="581025"/>
          <a:ext cx="39909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3</xdr:row>
      <xdr:rowOff>28575</xdr:rowOff>
    </xdr:from>
    <xdr:to>
      <xdr:col>2</xdr:col>
      <xdr:colOff>9525</xdr:colOff>
      <xdr:row>6</xdr:row>
      <xdr:rowOff>0</xdr:rowOff>
    </xdr:to>
    <xdr:sp>
      <xdr:nvSpPr>
        <xdr:cNvPr id="1" name="Line 1"/>
        <xdr:cNvSpPr>
          <a:spLocks/>
        </xdr:cNvSpPr>
      </xdr:nvSpPr>
      <xdr:spPr>
        <a:xfrm>
          <a:off x="581025" y="581025"/>
          <a:ext cx="12858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indpower.org/" TargetMode="External" /><Relationship Id="rId2" Type="http://schemas.openxmlformats.org/officeDocument/2006/relationships/hyperlink" Target="http://www.seic.okstate.edu/OWPI/About/Library/report_qtr1.pdf" TargetMode="External" /><Relationship Id="rId3" Type="http://schemas.openxmlformats.org/officeDocument/2006/relationships/hyperlink" Target="http://www.wmrc.uiuc.edu/main_sections/tech_assist/wind-energy.pdf"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55"/>
  <sheetViews>
    <sheetView tabSelected="1" workbookViewId="0" topLeftCell="A1">
      <selection activeCell="D8" sqref="D8"/>
    </sheetView>
  </sheetViews>
  <sheetFormatPr defaultColWidth="9.140625" defaultRowHeight="12.75"/>
  <cols>
    <col min="1" max="1" width="57.57421875" style="13" customWidth="1"/>
    <col min="2" max="2" width="2.28125" style="31" customWidth="1"/>
    <col min="3" max="3" width="59.7109375" style="31" customWidth="1"/>
    <col min="4" max="16384" width="9.140625" style="31" customWidth="1"/>
  </cols>
  <sheetData>
    <row r="1" ht="18">
      <c r="A1" s="35" t="s">
        <v>28</v>
      </c>
    </row>
    <row r="3" ht="12.75">
      <c r="C3" s="32"/>
    </row>
    <row r="4" ht="15.75">
      <c r="A4" s="37" t="s">
        <v>29</v>
      </c>
    </row>
    <row r="5" spans="1:3" ht="78" customHeight="1">
      <c r="A5" s="38" t="s">
        <v>30</v>
      </c>
      <c r="B5" s="36"/>
      <c r="C5" s="36"/>
    </row>
    <row r="6" spans="2:3" ht="12.75">
      <c r="B6" s="33"/>
      <c r="C6" s="13"/>
    </row>
    <row r="7" spans="1:3" ht="60.75" customHeight="1">
      <c r="A7" s="38" t="s">
        <v>31</v>
      </c>
      <c r="B7" s="38"/>
      <c r="C7" s="38"/>
    </row>
    <row r="8" spans="1:3" ht="15" customHeight="1" thickBot="1">
      <c r="A8" s="44"/>
      <c r="B8" s="44"/>
      <c r="C8" s="44"/>
    </row>
    <row r="9" spans="1:3" ht="38.25">
      <c r="A9" s="46" t="s">
        <v>34</v>
      </c>
      <c r="B9" s="45"/>
      <c r="C9" s="50" t="s">
        <v>35</v>
      </c>
    </row>
    <row r="10" spans="1:3" ht="10.5" customHeight="1">
      <c r="A10" s="47"/>
      <c r="B10" s="45"/>
      <c r="C10" s="47"/>
    </row>
    <row r="11" spans="1:3" ht="12.75">
      <c r="A11" s="48" t="s">
        <v>33</v>
      </c>
      <c r="B11" s="45"/>
      <c r="C11" s="51" t="s">
        <v>33</v>
      </c>
    </row>
    <row r="12" spans="1:3" ht="12.75">
      <c r="A12" s="48"/>
      <c r="B12" s="45"/>
      <c r="C12" s="51"/>
    </row>
    <row r="13" spans="1:3" ht="38.25">
      <c r="A13" s="52" t="s">
        <v>36</v>
      </c>
      <c r="B13" s="45"/>
      <c r="C13" s="53" t="s">
        <v>42</v>
      </c>
    </row>
    <row r="14" spans="1:3" ht="12.75">
      <c r="A14" s="48"/>
      <c r="B14" s="45"/>
      <c r="C14" s="51"/>
    </row>
    <row r="15" spans="1:3" ht="38.25">
      <c r="A15" s="52" t="s">
        <v>37</v>
      </c>
      <c r="B15" s="45"/>
      <c r="C15" s="53" t="s">
        <v>37</v>
      </c>
    </row>
    <row r="16" spans="1:3" ht="12.75">
      <c r="A16" s="48"/>
      <c r="B16" s="45"/>
      <c r="C16" s="51"/>
    </row>
    <row r="17" spans="1:3" ht="12.75">
      <c r="A17" s="48" t="s">
        <v>38</v>
      </c>
      <c r="B17" s="45"/>
      <c r="C17" s="51" t="s">
        <v>38</v>
      </c>
    </row>
    <row r="18" spans="1:3" ht="12.75">
      <c r="A18" s="48"/>
      <c r="B18" s="45"/>
      <c r="C18" s="51"/>
    </row>
    <row r="19" spans="1:3" ht="25.5">
      <c r="A19" s="48" t="s">
        <v>39</v>
      </c>
      <c r="B19" s="45"/>
      <c r="C19" s="51" t="s">
        <v>39</v>
      </c>
    </row>
    <row r="20" spans="1:3" ht="12.75">
      <c r="A20" s="48"/>
      <c r="B20" s="45"/>
      <c r="C20" s="51"/>
    </row>
    <row r="21" spans="1:3" ht="25.5">
      <c r="A21" s="48" t="s">
        <v>40</v>
      </c>
      <c r="B21" s="45"/>
      <c r="C21" s="51" t="s">
        <v>40</v>
      </c>
    </row>
    <row r="22" spans="1:3" ht="12.75">
      <c r="A22" s="48"/>
      <c r="B22" s="45"/>
      <c r="C22" s="51"/>
    </row>
    <row r="23" spans="1:3" ht="64.5" thickBot="1">
      <c r="A23" s="49" t="s">
        <v>41</v>
      </c>
      <c r="B23" s="45"/>
      <c r="C23" s="51" t="s">
        <v>43</v>
      </c>
    </row>
    <row r="24" spans="1:3" ht="12.75">
      <c r="A24" s="44"/>
      <c r="B24" s="45"/>
      <c r="C24" s="51"/>
    </row>
    <row r="25" spans="1:3" ht="25.5">
      <c r="A25" s="44"/>
      <c r="B25" s="45"/>
      <c r="C25" s="53" t="s">
        <v>44</v>
      </c>
    </row>
    <row r="26" spans="1:3" ht="12.75">
      <c r="A26" s="44"/>
      <c r="B26" s="45"/>
      <c r="C26" s="51"/>
    </row>
    <row r="27" spans="1:3" ht="25.5">
      <c r="A27" s="44"/>
      <c r="B27" s="45"/>
      <c r="C27" s="53" t="s">
        <v>45</v>
      </c>
    </row>
    <row r="28" spans="1:3" ht="12.75">
      <c r="A28" s="44"/>
      <c r="B28" s="45"/>
      <c r="C28" s="51"/>
    </row>
    <row r="29" spans="1:3" ht="51.75" thickBot="1">
      <c r="A29" s="44"/>
      <c r="B29" s="45"/>
      <c r="C29" s="54" t="s">
        <v>46</v>
      </c>
    </row>
    <row r="30" spans="2:3" ht="12.75">
      <c r="B30" s="33"/>
      <c r="C30" s="34"/>
    </row>
    <row r="31" spans="1:3" ht="12.75">
      <c r="A31" s="55" t="s">
        <v>47</v>
      </c>
      <c r="B31" s="33"/>
      <c r="C31" s="34"/>
    </row>
    <row r="32" spans="1:3" ht="12.75">
      <c r="A32" s="56" t="s">
        <v>48</v>
      </c>
      <c r="B32" s="57"/>
      <c r="C32" s="58" t="s">
        <v>51</v>
      </c>
    </row>
    <row r="33" spans="2:3" ht="12.75">
      <c r="B33" s="33"/>
      <c r="C33" s="34"/>
    </row>
    <row r="34" spans="1:3" ht="12.75">
      <c r="A34" s="56" t="s">
        <v>49</v>
      </c>
      <c r="B34" s="57"/>
      <c r="C34" s="58" t="s">
        <v>50</v>
      </c>
    </row>
    <row r="35" spans="2:3" ht="12.75">
      <c r="B35" s="33"/>
      <c r="C35" s="34"/>
    </row>
    <row r="36" spans="1:3" ht="25.5">
      <c r="A36" s="59" t="s">
        <v>53</v>
      </c>
      <c r="B36" s="57"/>
      <c r="C36" s="58" t="s">
        <v>52</v>
      </c>
    </row>
    <row r="37" spans="2:3" ht="12.75">
      <c r="B37" s="33"/>
      <c r="C37" s="34"/>
    </row>
    <row r="38" spans="2:3" ht="12.75">
      <c r="B38" s="33"/>
      <c r="C38" s="34"/>
    </row>
    <row r="39" spans="2:3" ht="12.75">
      <c r="B39" s="33"/>
      <c r="C39" s="34"/>
    </row>
    <row r="40" spans="2:3" ht="12.75">
      <c r="B40" s="33"/>
      <c r="C40" s="34"/>
    </row>
    <row r="41" spans="2:3" ht="12.75">
      <c r="B41" s="33"/>
      <c r="C41" s="34"/>
    </row>
    <row r="42" spans="2:3" ht="12.75">
      <c r="B42" s="33"/>
      <c r="C42" s="34"/>
    </row>
    <row r="43" spans="2:3" ht="12.75">
      <c r="B43" s="33"/>
      <c r="C43" s="34"/>
    </row>
    <row r="44" spans="2:3" ht="12.75">
      <c r="B44" s="33"/>
      <c r="C44" s="34"/>
    </row>
    <row r="45" spans="2:3" ht="12.75">
      <c r="B45" s="33"/>
      <c r="C45" s="34"/>
    </row>
    <row r="46" spans="2:3" ht="12.75">
      <c r="B46" s="33"/>
      <c r="C46" s="34"/>
    </row>
    <row r="47" spans="2:3" ht="12.75">
      <c r="B47" s="33"/>
      <c r="C47" s="34"/>
    </row>
    <row r="48" spans="2:3" ht="12.75">
      <c r="B48" s="33"/>
      <c r="C48" s="34"/>
    </row>
    <row r="49" spans="2:3" ht="12.75">
      <c r="B49" s="33"/>
      <c r="C49" s="34"/>
    </row>
    <row r="50" spans="2:3" ht="12.75">
      <c r="B50" s="33"/>
      <c r="C50" s="34"/>
    </row>
    <row r="51" spans="2:3" ht="12.75">
      <c r="B51" s="33"/>
      <c r="C51" s="34"/>
    </row>
    <row r="52" spans="2:3" ht="12.75">
      <c r="B52" s="33"/>
      <c r="C52" s="34"/>
    </row>
    <row r="53" spans="2:3" ht="12.75">
      <c r="B53" s="33"/>
      <c r="C53" s="34"/>
    </row>
    <row r="54" spans="2:3" ht="12.75">
      <c r="B54" s="33"/>
      <c r="C54" s="34"/>
    </row>
    <row r="55" spans="2:3" ht="12.75">
      <c r="B55" s="33"/>
      <c r="C55" s="34"/>
    </row>
  </sheetData>
  <mergeCells count="2">
    <mergeCell ref="A5:C5"/>
    <mergeCell ref="A7:C7"/>
  </mergeCells>
  <hyperlinks>
    <hyperlink ref="C34" r:id="rId1" display="www.windpower.org"/>
    <hyperlink ref="C32" r:id="rId2" display="www.seic.okstate.edu/OWPI/About/Library/report_qtr1.pdf"/>
    <hyperlink ref="C36" r:id="rId3" display="www.wmrc.uiuc.edu/main_sections/tech_assist/wind-energy.pdf"/>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67"/>
  <sheetViews>
    <sheetView workbookViewId="0" topLeftCell="A1">
      <selection activeCell="I11" sqref="I11"/>
    </sheetView>
  </sheetViews>
  <sheetFormatPr defaultColWidth="9.140625" defaultRowHeight="12.75"/>
  <cols>
    <col min="1" max="1" width="14.57421875" style="0" customWidth="1"/>
    <col min="2" max="2" width="13.28125" style="0" customWidth="1"/>
    <col min="3" max="3" width="10.7109375" style="0" bestFit="1" customWidth="1"/>
    <col min="4" max="4" width="10.7109375" style="0" customWidth="1"/>
    <col min="5" max="5" width="11.140625" style="1" customWidth="1"/>
    <col min="6" max="6" width="11.57421875" style="1" customWidth="1"/>
    <col min="7" max="7" width="11.421875" style="1" customWidth="1"/>
    <col min="8" max="8" width="10.8515625" style="1" customWidth="1"/>
    <col min="9" max="9" width="11.57421875" style="0" customWidth="1"/>
    <col min="11" max="11" width="14.28125" style="0" customWidth="1"/>
    <col min="12" max="12" width="12.421875" style="0" customWidth="1"/>
  </cols>
  <sheetData>
    <row r="1" spans="1:8" s="14" customFormat="1" ht="18">
      <c r="A1" s="14" t="s">
        <v>20</v>
      </c>
      <c r="E1" s="15"/>
      <c r="F1" s="15"/>
      <c r="G1" s="27" t="str">
        <f>INT(G67*10)/10&amp;"  KWH"</f>
        <v>2214.6  KWH</v>
      </c>
      <c r="H1" s="15"/>
    </row>
    <row r="3" spans="1:2" ht="12.75">
      <c r="A3" s="11" t="s">
        <v>6</v>
      </c>
      <c r="B3" s="9" t="s">
        <v>3</v>
      </c>
    </row>
    <row r="7" spans="1:13" ht="51" customHeight="1">
      <c r="A7" s="16"/>
      <c r="B7" s="17" t="s">
        <v>12</v>
      </c>
      <c r="C7" s="18">
        <v>6</v>
      </c>
      <c r="D7" s="23"/>
      <c r="F7" s="17" t="s">
        <v>14</v>
      </c>
      <c r="G7" s="18">
        <v>5000</v>
      </c>
      <c r="K7" s="39">
        <f>1.225-(1.194*0.0001)*G7*0.3048</f>
        <v>1.0430344</v>
      </c>
      <c r="L7" s="40">
        <f>0.44704*C7</f>
        <v>2.68224</v>
      </c>
      <c r="M7" s="41"/>
    </row>
    <row r="8" spans="1:13" ht="32.25" customHeight="1">
      <c r="A8" s="16"/>
      <c r="B8" s="17" t="s">
        <v>5</v>
      </c>
      <c r="C8" s="18">
        <v>30</v>
      </c>
      <c r="D8" s="23"/>
      <c r="H8" s="25" t="s">
        <v>32</v>
      </c>
      <c r="K8" s="42"/>
      <c r="L8" s="43">
        <f>C8*0.3048</f>
        <v>9.144</v>
      </c>
      <c r="M8" s="42"/>
    </row>
    <row r="9" spans="1:13" ht="27" customHeight="1">
      <c r="A9" s="16"/>
      <c r="B9" s="17" t="s">
        <v>4</v>
      </c>
      <c r="C9" s="18">
        <v>50</v>
      </c>
      <c r="D9" s="23"/>
      <c r="E9" s="26" t="s">
        <v>15</v>
      </c>
      <c r="F9" s="26"/>
      <c r="G9" s="26"/>
      <c r="H9" s="18"/>
      <c r="K9" s="42"/>
      <c r="L9" s="43">
        <f>C9*0.3048</f>
        <v>15.24</v>
      </c>
      <c r="M9" s="42">
        <f>IF(H9="","",0.1)</f>
      </c>
    </row>
    <row r="10" spans="1:13" ht="27" customHeight="1">
      <c r="A10" s="16"/>
      <c r="B10" s="17"/>
      <c r="C10" s="28"/>
      <c r="D10" s="24"/>
      <c r="E10" s="26" t="s">
        <v>16</v>
      </c>
      <c r="F10" s="26"/>
      <c r="G10" s="26"/>
      <c r="H10" s="18" t="s">
        <v>19</v>
      </c>
      <c r="K10" s="42"/>
      <c r="L10" s="43">
        <f>IF(MAX(M9:M12)=0,0.8,MAX(M9:M12))</f>
        <v>0.2</v>
      </c>
      <c r="M10" s="42">
        <f>IF(H10="","",0.2)</f>
        <v>0.2</v>
      </c>
    </row>
    <row r="11" spans="1:13" ht="27" customHeight="1">
      <c r="A11" s="16"/>
      <c r="B11" s="17"/>
      <c r="C11" s="23"/>
      <c r="D11" s="23"/>
      <c r="E11" s="26" t="s">
        <v>17</v>
      </c>
      <c r="F11" s="26"/>
      <c r="G11" s="26"/>
      <c r="H11" s="18"/>
      <c r="K11" s="42"/>
      <c r="L11" s="43">
        <f>C11*0.3048</f>
        <v>0</v>
      </c>
      <c r="M11" s="42">
        <f>IF(H11="","",0.4)</f>
      </c>
    </row>
    <row r="12" spans="1:13" ht="23.25" customHeight="1">
      <c r="A12" s="16"/>
      <c r="B12" s="17"/>
      <c r="C12" s="23"/>
      <c r="D12" s="23"/>
      <c r="E12" s="26" t="s">
        <v>18</v>
      </c>
      <c r="F12" s="26"/>
      <c r="G12" s="26"/>
      <c r="H12" s="18"/>
      <c r="K12" s="42"/>
      <c r="L12" s="40">
        <f>0.44704*C12</f>
        <v>0</v>
      </c>
      <c r="M12" s="42">
        <f>IF(H12="","",0.8)</f>
      </c>
    </row>
    <row r="13" spans="1:13" ht="18" customHeight="1">
      <c r="A13" s="1"/>
      <c r="B13" s="19"/>
      <c r="C13" s="23"/>
      <c r="D13" s="23"/>
      <c r="K13" s="41"/>
      <c r="L13" s="40">
        <f>0.44704*C13</f>
        <v>0</v>
      </c>
      <c r="M13" s="41"/>
    </row>
    <row r="14" spans="1:8" ht="12.75">
      <c r="A14" s="1"/>
      <c r="H14" s="13"/>
    </row>
    <row r="15" spans="1:8" ht="77.25" customHeight="1">
      <c r="A15" s="21" t="s">
        <v>11</v>
      </c>
      <c r="B15" s="21" t="s">
        <v>0</v>
      </c>
      <c r="C15" s="21" t="s">
        <v>1</v>
      </c>
      <c r="D15" s="12" t="s">
        <v>27</v>
      </c>
      <c r="E15" s="21" t="s">
        <v>25</v>
      </c>
      <c r="F15" s="21" t="s">
        <v>26</v>
      </c>
      <c r="G15" s="7" t="s">
        <v>22</v>
      </c>
      <c r="H15"/>
    </row>
    <row r="16" spans="1:8" ht="12.75">
      <c r="A16" s="4">
        <v>1</v>
      </c>
      <c r="B16" s="5">
        <f aca="true" t="shared" si="0" ref="B16:B65">(PI()/2)*(A16/($C$7^2))*EXP((-1*PI()/4)*(A16/$C$7)^2)</f>
        <v>0.04269161069828681</v>
      </c>
      <c r="C16" s="6">
        <f aca="true" t="shared" si="1" ref="C16:C65">365*24*B16</f>
        <v>373.97850971699245</v>
      </c>
      <c r="D16" s="3">
        <f>A16*LN($C$9/$L$10)/(LN($C$8/$L$10))</f>
        <v>1.101948274776228</v>
      </c>
      <c r="E16" s="29">
        <v>0</v>
      </c>
      <c r="F16" s="29">
        <f>E16*($K$7/1.225)</f>
        <v>0</v>
      </c>
      <c r="G16" s="8">
        <f>C16*F16/1000</f>
        <v>0</v>
      </c>
      <c r="H16"/>
    </row>
    <row r="17" spans="1:8" ht="12.75">
      <c r="A17" s="4">
        <v>2</v>
      </c>
      <c r="B17" s="5">
        <f t="shared" si="0"/>
        <v>0.07997385460146407</v>
      </c>
      <c r="C17" s="6">
        <f t="shared" si="1"/>
        <v>700.5709663088253</v>
      </c>
      <c r="D17" s="3">
        <f>A17*LN($C$9/$L$10)/(LN($C$8/$L$10))</f>
        <v>2.203896549552456</v>
      </c>
      <c r="E17" s="29">
        <v>0</v>
      </c>
      <c r="F17" s="29">
        <f aca="true" t="shared" si="2" ref="F17:F64">E17*($K$7/1.225)</f>
        <v>0</v>
      </c>
      <c r="G17" s="8">
        <f aca="true" t="shared" si="3" ref="G17:G65">C17*F17/1000</f>
        <v>0</v>
      </c>
      <c r="H17"/>
    </row>
    <row r="18" spans="1:8" ht="12.75">
      <c r="A18" s="4">
        <v>3</v>
      </c>
      <c r="B18" s="5">
        <f t="shared" si="0"/>
        <v>0.1075635454762754</v>
      </c>
      <c r="C18" s="6">
        <f t="shared" si="1"/>
        <v>942.2566583721725</v>
      </c>
      <c r="D18" s="3">
        <f>A18*LN($C$9/$L$10)/(LN($C$8/$L$10))</f>
        <v>3.3058448243286835</v>
      </c>
      <c r="E18" s="29">
        <v>0</v>
      </c>
      <c r="F18" s="29">
        <f t="shared" si="2"/>
        <v>0</v>
      </c>
      <c r="G18" s="8">
        <f t="shared" si="3"/>
        <v>0</v>
      </c>
      <c r="H18"/>
    </row>
    <row r="19" spans="1:8" ht="12.75">
      <c r="A19" s="4">
        <v>4</v>
      </c>
      <c r="B19" s="5">
        <f t="shared" si="0"/>
        <v>0.12310621958102047</v>
      </c>
      <c r="C19" s="6">
        <f t="shared" si="1"/>
        <v>1078.4104835297394</v>
      </c>
      <c r="D19" s="3">
        <f>A19*LN($C$9/$L$10)/(LN($C$8/$L$10))</f>
        <v>4.407793099104912</v>
      </c>
      <c r="E19" s="29">
        <v>0</v>
      </c>
      <c r="F19" s="29">
        <f t="shared" si="2"/>
        <v>0</v>
      </c>
      <c r="G19" s="8">
        <f t="shared" si="3"/>
        <v>0</v>
      </c>
      <c r="H19"/>
    </row>
    <row r="20" spans="1:8" ht="12.75">
      <c r="A20" s="4">
        <v>5</v>
      </c>
      <c r="B20" s="5">
        <f t="shared" si="0"/>
        <v>0.12644931639865412</v>
      </c>
      <c r="C20" s="6">
        <f t="shared" si="1"/>
        <v>1107.69601165221</v>
      </c>
      <c r="D20" s="3">
        <f>A20*LN($C$9/$L$10)/(LN($C$8/$L$10))</f>
        <v>5.509741373881139</v>
      </c>
      <c r="E20" s="29">
        <v>0</v>
      </c>
      <c r="F20" s="29">
        <f t="shared" si="2"/>
        <v>0</v>
      </c>
      <c r="G20" s="8">
        <f t="shared" si="3"/>
        <v>0</v>
      </c>
      <c r="H20"/>
    </row>
    <row r="21" spans="1:8" ht="12.75">
      <c r="A21" s="4">
        <v>6</v>
      </c>
      <c r="B21" s="5">
        <f t="shared" si="0"/>
        <v>0.11936432272342817</v>
      </c>
      <c r="C21" s="6">
        <f t="shared" si="1"/>
        <v>1045.6314670572308</v>
      </c>
      <c r="D21" s="3">
        <f>A21*LN($C$9/$L$10)/(LN($C$8/$L$10))</f>
        <v>6.611689648657367</v>
      </c>
      <c r="E21" s="29">
        <v>0</v>
      </c>
      <c r="F21" s="29">
        <f t="shared" si="2"/>
        <v>0</v>
      </c>
      <c r="G21" s="8">
        <f t="shared" si="3"/>
        <v>0</v>
      </c>
      <c r="H21"/>
    </row>
    <row r="22" spans="1:8" ht="12.75">
      <c r="A22" s="4">
        <v>7</v>
      </c>
      <c r="B22" s="5">
        <f t="shared" si="0"/>
        <v>0.10486932256065015</v>
      </c>
      <c r="C22" s="6">
        <f t="shared" si="1"/>
        <v>918.6552656312954</v>
      </c>
      <c r="D22" s="3">
        <f>A22*LN($C$9/$L$10)/(LN($C$8/$L$10))</f>
        <v>7.713637923433596</v>
      </c>
      <c r="E22" s="29">
        <v>200</v>
      </c>
      <c r="F22" s="29">
        <f t="shared" si="2"/>
        <v>170.29133061224488</v>
      </c>
      <c r="G22" s="8">
        <f t="shared" si="3"/>
        <v>156.43902755829856</v>
      </c>
      <c r="H22"/>
    </row>
    <row r="23" spans="1:8" ht="12.75">
      <c r="A23" s="4">
        <v>8</v>
      </c>
      <c r="B23" s="5">
        <f t="shared" si="0"/>
        <v>0.08640082167566965</v>
      </c>
      <c r="C23" s="6">
        <f t="shared" si="1"/>
        <v>756.8711978788662</v>
      </c>
      <c r="D23" s="3">
        <f>A23*LN($C$9/$L$10)/(LN($C$8/$L$10))</f>
        <v>8.815586198209823</v>
      </c>
      <c r="E23" s="29">
        <v>500</v>
      </c>
      <c r="F23" s="29">
        <f t="shared" si="2"/>
        <v>425.7283265306122</v>
      </c>
      <c r="G23" s="8">
        <f t="shared" si="3"/>
        <v>322.22150847218956</v>
      </c>
      <c r="H23"/>
    </row>
    <row r="24" spans="1:8" ht="12.75">
      <c r="A24" s="4">
        <v>9</v>
      </c>
      <c r="B24" s="5">
        <f t="shared" si="0"/>
        <v>0.06708079279318213</v>
      </c>
      <c r="C24" s="6">
        <f t="shared" si="1"/>
        <v>587.6277448682755</v>
      </c>
      <c r="D24" s="3">
        <f>A24*LN($C$9/$L$10)/(LN($C$8/$L$10))</f>
        <v>9.91753447298605</v>
      </c>
      <c r="E24" s="29">
        <v>700</v>
      </c>
      <c r="F24" s="29">
        <f t="shared" si="2"/>
        <v>596.0196571428571</v>
      </c>
      <c r="G24" s="8">
        <f t="shared" si="3"/>
        <v>350.2376870240199</v>
      </c>
      <c r="H24"/>
    </row>
    <row r="25" spans="1:8" ht="12.75">
      <c r="A25" s="4">
        <v>10</v>
      </c>
      <c r="B25" s="5">
        <f t="shared" si="0"/>
        <v>0.049241786090310644</v>
      </c>
      <c r="C25" s="6">
        <f t="shared" si="1"/>
        <v>431.35804615112124</v>
      </c>
      <c r="D25" s="3">
        <f>A25*LN($C$9/$L$10)/(LN($C$8/$L$10))</f>
        <v>11.019482747762279</v>
      </c>
      <c r="E25" s="29">
        <v>800</v>
      </c>
      <c r="F25" s="29">
        <f t="shared" si="2"/>
        <v>681.1653224489795</v>
      </c>
      <c r="G25" s="8">
        <f t="shared" si="3"/>
        <v>293.8261425974903</v>
      </c>
      <c r="H25"/>
    </row>
    <row r="26" spans="1:8" ht="12.75">
      <c r="A26" s="4">
        <v>11</v>
      </c>
      <c r="B26" s="5">
        <f t="shared" si="0"/>
        <v>0.034257441972441856</v>
      </c>
      <c r="C26" s="6">
        <f t="shared" si="1"/>
        <v>300.09519167859065</v>
      </c>
      <c r="D26" s="3">
        <f>A26*LN($C$9/$L$10)/(LN($C$8/$L$10))</f>
        <v>12.121431022538507</v>
      </c>
      <c r="E26" s="29">
        <v>1200</v>
      </c>
      <c r="F26" s="29">
        <f t="shared" si="2"/>
        <v>1021.7479836734693</v>
      </c>
      <c r="G26" s="8">
        <f t="shared" si="3"/>
        <v>306.6216570077033</v>
      </c>
      <c r="H26"/>
    </row>
    <row r="27" spans="1:8" ht="12.75">
      <c r="A27" s="4">
        <v>12</v>
      </c>
      <c r="B27" s="5">
        <f t="shared" si="0"/>
        <v>0.022626754691716117</v>
      </c>
      <c r="C27" s="6">
        <f t="shared" si="1"/>
        <v>198.2103710994332</v>
      </c>
      <c r="D27" s="3">
        <f>A27*LN($C$9/$L$10)/(LN($C$8/$L$10))</f>
        <v>13.223379297314734</v>
      </c>
      <c r="E27" s="29">
        <v>1600</v>
      </c>
      <c r="F27" s="29">
        <f t="shared" si="2"/>
        <v>1362.330644897959</v>
      </c>
      <c r="G27" s="8">
        <f t="shared" si="3"/>
        <v>270.0280626853546</v>
      </c>
      <c r="H27"/>
    </row>
    <row r="28" spans="1:8" ht="12.75">
      <c r="A28" s="4">
        <v>13</v>
      </c>
      <c r="B28" s="5">
        <f t="shared" si="0"/>
        <v>0.014207363100739431</v>
      </c>
      <c r="C28" s="6">
        <f t="shared" si="1"/>
        <v>124.45650076247742</v>
      </c>
      <c r="D28" s="3">
        <f>A28*LN($C$9/$L$10)/(LN($C$8/$L$10))</f>
        <v>14.325327572090961</v>
      </c>
      <c r="E28" s="29">
        <v>1900</v>
      </c>
      <c r="F28" s="29">
        <f t="shared" si="2"/>
        <v>1617.7676408163263</v>
      </c>
      <c r="G28" s="8">
        <f t="shared" si="3"/>
        <v>201.3416996227684</v>
      </c>
      <c r="H28"/>
    </row>
    <row r="29" spans="1:8" ht="12.75">
      <c r="A29" s="4">
        <v>14</v>
      </c>
      <c r="B29" s="5">
        <f t="shared" si="0"/>
        <v>0.008489411728936046</v>
      </c>
      <c r="C29" s="6">
        <f t="shared" si="1"/>
        <v>74.36724674547976</v>
      </c>
      <c r="D29" s="3">
        <f>A29*LN($C$9/$L$10)/(LN($C$8/$L$10))</f>
        <v>15.427275846867191</v>
      </c>
      <c r="E29" s="29">
        <v>2000</v>
      </c>
      <c r="F29" s="29">
        <f t="shared" si="2"/>
        <v>1702.9133061224488</v>
      </c>
      <c r="G29" s="8">
        <f t="shared" si="3"/>
        <v>126.64097402256886</v>
      </c>
      <c r="H29"/>
    </row>
    <row r="30" spans="1:8" ht="12.75">
      <c r="A30" s="4">
        <v>15</v>
      </c>
      <c r="B30" s="5">
        <f t="shared" si="0"/>
        <v>0.004831373161389358</v>
      </c>
      <c r="C30" s="6">
        <f t="shared" si="1"/>
        <v>42.32282889377078</v>
      </c>
      <c r="D30" s="3">
        <f>A30*LN($C$9/$L$10)/(LN($C$8/$L$10))</f>
        <v>16.52922412164342</v>
      </c>
      <c r="E30" s="29">
        <v>2100</v>
      </c>
      <c r="F30" s="29">
        <f t="shared" si="2"/>
        <v>1788.0589714285713</v>
      </c>
      <c r="G30" s="8">
        <f t="shared" si="3"/>
        <v>75.6757138997432</v>
      </c>
      <c r="H30"/>
    </row>
    <row r="31" spans="1:8" ht="12.75">
      <c r="A31" s="4">
        <v>16</v>
      </c>
      <c r="B31" s="5">
        <f t="shared" si="0"/>
        <v>0.002620471233392012</v>
      </c>
      <c r="C31" s="6">
        <f t="shared" si="1"/>
        <v>22.955328004514026</v>
      </c>
      <c r="D31" s="3">
        <f>A31*LN($C$9/$L$10)/(LN($C$8/$L$10))</f>
        <v>17.631172396419647</v>
      </c>
      <c r="E31" s="29">
        <v>2300</v>
      </c>
      <c r="F31" s="29">
        <f t="shared" si="2"/>
        <v>1958.3503020408161</v>
      </c>
      <c r="G31" s="8">
        <f t="shared" si="3"/>
        <v>44.95457353108605</v>
      </c>
      <c r="H31"/>
    </row>
    <row r="32" spans="1:8" ht="12.75">
      <c r="A32" s="4">
        <v>17</v>
      </c>
      <c r="B32" s="5">
        <f t="shared" si="0"/>
        <v>0.001355310347758186</v>
      </c>
      <c r="C32" s="6">
        <f t="shared" si="1"/>
        <v>11.872518646361709</v>
      </c>
      <c r="D32" s="3">
        <f>A32*LN($C$9/$L$10)/(LN($C$8/$L$10))</f>
        <v>18.733120671195874</v>
      </c>
      <c r="E32" s="29">
        <v>3000</v>
      </c>
      <c r="F32" s="29">
        <f t="shared" si="2"/>
        <v>2554.3699591836735</v>
      </c>
      <c r="G32" s="8">
        <f t="shared" si="3"/>
        <v>30.32680497011436</v>
      </c>
      <c r="H32"/>
    </row>
    <row r="33" spans="1:8" ht="12.75">
      <c r="A33" s="4">
        <v>18</v>
      </c>
      <c r="B33" s="5">
        <f t="shared" si="0"/>
        <v>0.0006687181106853383</v>
      </c>
      <c r="C33" s="6">
        <f t="shared" si="1"/>
        <v>5.857970649603564</v>
      </c>
      <c r="D33" s="3">
        <f>A33*LN($C$9/$L$10)/(LN($C$8/$L$10))</f>
        <v>19.8350689459721</v>
      </c>
      <c r="E33" s="29">
        <v>3600</v>
      </c>
      <c r="F33" s="29">
        <f t="shared" si="2"/>
        <v>3065.243951020408</v>
      </c>
      <c r="G33" s="8">
        <f t="shared" si="3"/>
        <v>17.956109098952414</v>
      </c>
      <c r="H33"/>
    </row>
    <row r="34" spans="1:8" ht="12.75">
      <c r="A34" s="4">
        <v>19</v>
      </c>
      <c r="B34" s="5">
        <f t="shared" si="0"/>
        <v>0.00031488738102351414</v>
      </c>
      <c r="C34" s="6">
        <f t="shared" si="1"/>
        <v>2.758413457765984</v>
      </c>
      <c r="D34" s="3">
        <f>A34*LN($C$9/$L$10)/(LN($C$8/$L$10))</f>
        <v>20.93701722074833</v>
      </c>
      <c r="E34" s="29">
        <v>4000</v>
      </c>
      <c r="F34" s="29">
        <f t="shared" si="2"/>
        <v>3405.8266122448977</v>
      </c>
      <c r="G34" s="8">
        <f t="shared" si="3"/>
        <v>9.394677962033855</v>
      </c>
      <c r="H34"/>
    </row>
    <row r="35" spans="1:8" ht="12.75">
      <c r="A35" s="4">
        <v>20</v>
      </c>
      <c r="B35" s="5">
        <f t="shared" si="0"/>
        <v>0.00014155103711546097</v>
      </c>
      <c r="C35" s="6">
        <f t="shared" si="1"/>
        <v>1.239987085131438</v>
      </c>
      <c r="D35" s="3">
        <f>A35*LN($C$9/$L$10)/(LN($C$8/$L$10))</f>
        <v>22.038965495524558</v>
      </c>
      <c r="E35" s="29">
        <v>4600</v>
      </c>
      <c r="F35" s="29">
        <f t="shared" si="2"/>
        <v>3916.7006040816323</v>
      </c>
      <c r="G35" s="8">
        <f t="shared" si="3"/>
        <v>4.856658165387725</v>
      </c>
      <c r="H35"/>
    </row>
    <row r="36" spans="1:8" ht="12.75">
      <c r="A36" s="4">
        <v>21</v>
      </c>
      <c r="B36" s="5">
        <f t="shared" si="0"/>
        <v>6.076228359660868E-05</v>
      </c>
      <c r="C36" s="6">
        <f t="shared" si="1"/>
        <v>0.532277604306292</v>
      </c>
      <c r="D36" s="3">
        <f>A36*LN($C$9/$L$10)/(LN($C$8/$L$10))</f>
        <v>23.140913770300784</v>
      </c>
      <c r="E36" s="29">
        <v>5000</v>
      </c>
      <c r="F36" s="29">
        <f t="shared" si="2"/>
        <v>4257.283265306122</v>
      </c>
      <c r="G36" s="8">
        <f t="shared" si="3"/>
        <v>2.266056537310411</v>
      </c>
      <c r="H36"/>
    </row>
    <row r="37" spans="1:8" ht="12.75">
      <c r="A37" s="4">
        <v>22</v>
      </c>
      <c r="B37" s="5">
        <f t="shared" si="0"/>
        <v>2.4912627503780028E-05</v>
      </c>
      <c r="C37" s="6">
        <f t="shared" si="1"/>
        <v>0.21823461693311305</v>
      </c>
      <c r="D37" s="3">
        <f>A37*LN($C$9/$L$10)/(LN($C$8/$L$10))</f>
        <v>24.242862045077015</v>
      </c>
      <c r="E37" s="29">
        <v>6000</v>
      </c>
      <c r="F37" s="29">
        <f t="shared" si="2"/>
        <v>5108.739918367347</v>
      </c>
      <c r="G37" s="8">
        <f t="shared" si="3"/>
        <v>1.1149038990958013</v>
      </c>
      <c r="H37"/>
    </row>
    <row r="38" spans="1:8" ht="12.75">
      <c r="A38" s="4">
        <v>23</v>
      </c>
      <c r="B38" s="5">
        <f t="shared" si="0"/>
        <v>9.757916086641002E-06</v>
      </c>
      <c r="C38" s="6">
        <f t="shared" si="1"/>
        <v>0.08547934491897517</v>
      </c>
      <c r="D38" s="3">
        <f>A38*LN($C$9/$L$10)/(LN($C$8/$L$10))</f>
        <v>25.34481031985324</v>
      </c>
      <c r="E38" s="29">
        <v>6400</v>
      </c>
      <c r="F38" s="29">
        <f t="shared" si="2"/>
        <v>5449.322579591836</v>
      </c>
      <c r="G38" s="8">
        <f t="shared" si="3"/>
        <v>0.4658045243556901</v>
      </c>
      <c r="H38"/>
    </row>
    <row r="39" spans="1:8" ht="12.75">
      <c r="A39" s="4">
        <v>24</v>
      </c>
      <c r="B39" s="5">
        <f t="shared" si="0"/>
        <v>3.6519363756062347E-06</v>
      </c>
      <c r="C39" s="6">
        <f t="shared" si="1"/>
        <v>0.031990962650310616</v>
      </c>
      <c r="D39" s="3">
        <f>A39*LN($C$9/$L$10)/(LN($C$8/$L$10))</f>
        <v>26.44675859462947</v>
      </c>
      <c r="E39" s="29">
        <v>7000</v>
      </c>
      <c r="F39" s="29">
        <f t="shared" si="2"/>
        <v>5960.196571428571</v>
      </c>
      <c r="G39" s="8">
        <f t="shared" si="3"/>
        <v>0.1906724259050808</v>
      </c>
      <c r="H39"/>
    </row>
    <row r="40" spans="1:8" ht="12.75">
      <c r="A40" s="4">
        <v>25</v>
      </c>
      <c r="B40" s="5">
        <f t="shared" si="0"/>
        <v>1.3061258229739227E-06</v>
      </c>
      <c r="C40" s="6">
        <f t="shared" si="1"/>
        <v>0.011441662209251562</v>
      </c>
      <c r="D40" s="3">
        <f>A40*LN($C$9/$L$10)/(LN($C$8/$L$10))</f>
        <v>27.548706869405695</v>
      </c>
      <c r="E40" s="29">
        <v>7800</v>
      </c>
      <c r="F40" s="29">
        <f t="shared" si="2"/>
        <v>6641.361893877551</v>
      </c>
      <c r="G40" s="8">
        <f t="shared" si="3"/>
        <v>0.07598821939914216</v>
      </c>
      <c r="H40"/>
    </row>
    <row r="41" spans="1:8" ht="12.75">
      <c r="A41" s="4">
        <v>26</v>
      </c>
      <c r="B41" s="5">
        <f t="shared" si="0"/>
        <v>4.464797124531219E-07</v>
      </c>
      <c r="C41" s="6">
        <f t="shared" si="1"/>
        <v>0.003911162281089348</v>
      </c>
      <c r="D41" s="3">
        <f>A41*LN($C$9/$L$10)/(LN($C$8/$L$10))</f>
        <v>28.650655144181922</v>
      </c>
      <c r="E41" s="29">
        <v>8500</v>
      </c>
      <c r="F41" s="29">
        <f t="shared" si="2"/>
        <v>7237.381551020408</v>
      </c>
      <c r="G41" s="8">
        <f t="shared" si="3"/>
        <v>0.028306573736202944</v>
      </c>
      <c r="H41"/>
    </row>
    <row r="42" spans="1:8" ht="12.75">
      <c r="A42" s="4">
        <v>27</v>
      </c>
      <c r="B42" s="5">
        <f t="shared" si="0"/>
        <v>1.4589010911145687E-07</v>
      </c>
      <c r="C42" s="6">
        <f t="shared" si="1"/>
        <v>0.0012779973558163622</v>
      </c>
      <c r="D42" s="3">
        <f>A42*LN($C$9/$L$10)/(LN($C$8/$L$10))</f>
        <v>29.752603418958152</v>
      </c>
      <c r="E42" s="29">
        <v>9400</v>
      </c>
      <c r="F42" s="29">
        <f t="shared" si="2"/>
        <v>8003.69253877551</v>
      </c>
      <c r="G42" s="8">
        <f t="shared" si="3"/>
        <v>0.01022869790132225</v>
      </c>
      <c r="H42"/>
    </row>
    <row r="43" spans="1:8" ht="12.75">
      <c r="A43" s="4">
        <v>28</v>
      </c>
      <c r="B43" s="5">
        <f t="shared" si="0"/>
        <v>4.557263580559561E-08</v>
      </c>
      <c r="C43" s="6">
        <f t="shared" si="1"/>
        <v>0.0003992162896570176</v>
      </c>
      <c r="D43" s="3">
        <f>A43*LN($C$9/$L$10)/(LN($C$8/$L$10))</f>
        <v>30.854551693734383</v>
      </c>
      <c r="E43" s="29">
        <v>10000</v>
      </c>
      <c r="F43" s="29">
        <f t="shared" si="2"/>
        <v>8514.566530612245</v>
      </c>
      <c r="G43" s="8">
        <f t="shared" si="3"/>
        <v>0.0033991536583888454</v>
      </c>
      <c r="H43"/>
    </row>
    <row r="44" spans="1:8" ht="12.75">
      <c r="A44" s="4">
        <v>29</v>
      </c>
      <c r="B44" s="5">
        <f t="shared" si="0"/>
        <v>1.361063771846491E-08</v>
      </c>
      <c r="C44" s="6">
        <f t="shared" si="1"/>
        <v>0.00011922918641375262</v>
      </c>
      <c r="D44" s="3">
        <f>A44*LN($C$9/$L$10)/(LN($C$8/$L$10))</f>
        <v>31.95649996851061</v>
      </c>
      <c r="E44" s="29">
        <v>10600</v>
      </c>
      <c r="F44" s="29">
        <f t="shared" si="2"/>
        <v>9025.440522448978</v>
      </c>
      <c r="G44" s="8">
        <f t="shared" si="3"/>
        <v>0.0010760959305173062</v>
      </c>
      <c r="H44"/>
    </row>
    <row r="45" spans="1:8" ht="12.75">
      <c r="A45" s="4">
        <v>30</v>
      </c>
      <c r="B45" s="5">
        <f t="shared" si="0"/>
        <v>3.886748319595058E-09</v>
      </c>
      <c r="C45" s="6">
        <f t="shared" si="1"/>
        <v>3.404791527965271E-05</v>
      </c>
      <c r="D45" s="3">
        <f>A45*LN($C$9/$L$10)/(LN($C$8/$L$10))</f>
        <v>33.05844824328684</v>
      </c>
      <c r="E45" s="29">
        <v>10800</v>
      </c>
      <c r="F45" s="29">
        <f t="shared" si="2"/>
        <v>9195.731853061223</v>
      </c>
      <c r="G45" s="8">
        <f t="shared" si="3"/>
        <v>0.00031309549906743234</v>
      </c>
      <c r="H45"/>
    </row>
    <row r="46" spans="1:8" ht="12.75">
      <c r="A46" s="4">
        <v>31</v>
      </c>
      <c r="B46" s="5">
        <f t="shared" si="0"/>
        <v>1.0613579452689894E-09</v>
      </c>
      <c r="C46" s="6">
        <f t="shared" si="1"/>
        <v>9.297495600556348E-06</v>
      </c>
      <c r="D46" s="3">
        <f>A46*LN($C$9/$L$10)/(LN($C$8/$L$10))</f>
        <v>34.16039651806307</v>
      </c>
      <c r="E46" s="29">
        <v>11300</v>
      </c>
      <c r="F46" s="29">
        <f t="shared" si="2"/>
        <v>9621.460179591835</v>
      </c>
      <c r="G46" s="8">
        <f t="shared" si="3"/>
        <v>8.945548369068319E-05</v>
      </c>
      <c r="H46"/>
    </row>
    <row r="47" spans="1:8" ht="12.75">
      <c r="A47" s="4">
        <v>32</v>
      </c>
      <c r="B47" s="5">
        <f t="shared" si="0"/>
        <v>2.771631605497253E-10</v>
      </c>
      <c r="C47" s="6">
        <f t="shared" si="1"/>
        <v>2.4279492864155933E-06</v>
      </c>
      <c r="D47" s="3">
        <f>A47*LN($C$9/$L$10)/(LN($C$8/$L$10))</f>
        <v>35.26234479283929</v>
      </c>
      <c r="E47" s="29">
        <v>11800</v>
      </c>
      <c r="F47" s="29">
        <f t="shared" si="2"/>
        <v>10047.188506122448</v>
      </c>
      <c r="G47" s="8">
        <f t="shared" si="3"/>
        <v>2.4394064163922948E-05</v>
      </c>
      <c r="H47"/>
    </row>
    <row r="48" spans="1:8" ht="12.75">
      <c r="A48" s="4">
        <v>33</v>
      </c>
      <c r="B48" s="5">
        <f t="shared" si="0"/>
        <v>6.922056506235809E-11</v>
      </c>
      <c r="C48" s="6">
        <f t="shared" si="1"/>
        <v>6.063721499462568E-07</v>
      </c>
      <c r="D48" s="3">
        <f>A48*LN($C$9/$L$10)/(LN($C$8/$L$10))</f>
        <v>36.36429306761552</v>
      </c>
      <c r="E48" s="29">
        <v>12000</v>
      </c>
      <c r="F48" s="29">
        <f t="shared" si="2"/>
        <v>10217.479836734694</v>
      </c>
      <c r="G48" s="8">
        <f t="shared" si="3"/>
        <v>6.195595215633345E-06</v>
      </c>
      <c r="H48"/>
    </row>
    <row r="49" spans="1:8" ht="12.75">
      <c r="A49" s="4">
        <v>34</v>
      </c>
      <c r="B49" s="5">
        <f t="shared" si="0"/>
        <v>1.6534311656097904E-11</v>
      </c>
      <c r="C49" s="6">
        <f t="shared" si="1"/>
        <v>1.4484057010741764E-07</v>
      </c>
      <c r="D49" s="3">
        <f>A49*LN($C$9/$L$10)/(LN($C$8/$L$10))</f>
        <v>37.46624134239175</v>
      </c>
      <c r="E49" s="29"/>
      <c r="F49" s="29">
        <f t="shared" si="2"/>
        <v>0</v>
      </c>
      <c r="G49" s="8">
        <f t="shared" si="3"/>
        <v>0</v>
      </c>
      <c r="H49"/>
    </row>
    <row r="50" spans="1:8" ht="12.75">
      <c r="A50" s="4">
        <v>35</v>
      </c>
      <c r="B50" s="5">
        <f t="shared" si="0"/>
        <v>3.7775617925609815E-12</v>
      </c>
      <c r="C50" s="6">
        <f t="shared" si="1"/>
        <v>3.30914413028342E-08</v>
      </c>
      <c r="D50" s="3">
        <f>A50*LN($C$9/$L$10)/(LN($C$8/$L$10))</f>
        <v>38.568189617167974</v>
      </c>
      <c r="E50" s="29"/>
      <c r="F50" s="29">
        <f t="shared" si="2"/>
        <v>0</v>
      </c>
      <c r="G50" s="8">
        <f t="shared" si="3"/>
        <v>0</v>
      </c>
      <c r="H50"/>
    </row>
    <row r="51" spans="1:8" ht="12.75">
      <c r="A51" s="4">
        <v>36</v>
      </c>
      <c r="B51" s="5">
        <f t="shared" si="0"/>
        <v>8.255296809995969E-13</v>
      </c>
      <c r="C51" s="6">
        <f t="shared" si="1"/>
        <v>7.231640005556468E-09</v>
      </c>
      <c r="D51" s="3">
        <f>A51*LN($C$9/$L$10)/(LN($C$8/$L$10))</f>
        <v>39.6701378919442</v>
      </c>
      <c r="E51" s="29"/>
      <c r="F51" s="29">
        <f t="shared" si="2"/>
        <v>0</v>
      </c>
      <c r="G51" s="8">
        <f t="shared" si="3"/>
        <v>0</v>
      </c>
      <c r="H51"/>
    </row>
    <row r="52" spans="1:8" ht="12.75">
      <c r="A52" s="4">
        <v>37</v>
      </c>
      <c r="B52" s="5">
        <f t="shared" si="0"/>
        <v>1.72571432056654E-13</v>
      </c>
      <c r="C52" s="6">
        <f t="shared" si="1"/>
        <v>1.511725744816289E-09</v>
      </c>
      <c r="D52" s="3">
        <f>A52*LN($C$9/$L$10)/(LN($C$8/$L$10))</f>
        <v>40.772086166720435</v>
      </c>
      <c r="E52" s="29"/>
      <c r="F52" s="29">
        <f t="shared" si="2"/>
        <v>0</v>
      </c>
      <c r="G52" s="8">
        <f t="shared" si="3"/>
        <v>0</v>
      </c>
      <c r="H52"/>
    </row>
    <row r="53" spans="1:8" ht="12.75">
      <c r="A53" s="4">
        <v>38</v>
      </c>
      <c r="B53" s="5">
        <f t="shared" si="0"/>
        <v>3.4509454258442463E-14</v>
      </c>
      <c r="C53" s="6">
        <f t="shared" si="1"/>
        <v>3.02302819303956E-10</v>
      </c>
      <c r="D53" s="3">
        <f>A53*LN($C$9/$L$10)/(LN($C$8/$L$10))</f>
        <v>41.87403444149666</v>
      </c>
      <c r="E53" s="29"/>
      <c r="F53" s="29">
        <f t="shared" si="2"/>
        <v>0</v>
      </c>
      <c r="G53" s="8">
        <f t="shared" si="3"/>
        <v>0</v>
      </c>
      <c r="H53"/>
    </row>
    <row r="54" spans="1:8" ht="12.75">
      <c r="A54" s="4">
        <v>39</v>
      </c>
      <c r="B54" s="5">
        <f t="shared" si="0"/>
        <v>6.601714607653669E-15</v>
      </c>
      <c r="C54" s="6">
        <f t="shared" si="1"/>
        <v>5.7831019963046136E-11</v>
      </c>
      <c r="D54" s="3">
        <f>A54*LN($C$9/$L$10)/(LN($C$8/$L$10))</f>
        <v>42.97598271627289</v>
      </c>
      <c r="E54" s="29"/>
      <c r="F54" s="29">
        <f t="shared" si="2"/>
        <v>0</v>
      </c>
      <c r="G54" s="8">
        <f t="shared" si="3"/>
        <v>0</v>
      </c>
      <c r="H54"/>
    </row>
    <row r="55" spans="1:8" ht="12.75">
      <c r="A55" s="4">
        <v>40</v>
      </c>
      <c r="B55" s="5">
        <f t="shared" si="0"/>
        <v>1.2082035367072602E-15</v>
      </c>
      <c r="C55" s="6">
        <f t="shared" si="1"/>
        <v>1.0583862981555599E-11</v>
      </c>
      <c r="D55" s="3">
        <f>A55*LN($C$9/$L$10)/(LN($C$8/$L$10))</f>
        <v>44.077930991049115</v>
      </c>
      <c r="E55" s="29"/>
      <c r="F55" s="29">
        <f t="shared" si="2"/>
        <v>0</v>
      </c>
      <c r="G55" s="8">
        <f t="shared" si="3"/>
        <v>0</v>
      </c>
      <c r="H55"/>
    </row>
    <row r="56" spans="1:8" ht="12.75">
      <c r="A56" s="4">
        <v>41</v>
      </c>
      <c r="B56" s="5">
        <f t="shared" si="0"/>
        <v>2.1154475843421914E-16</v>
      </c>
      <c r="C56" s="6">
        <f t="shared" si="1"/>
        <v>1.8531320838837596E-12</v>
      </c>
      <c r="D56" s="3">
        <f>A56*LN($C$9/$L$10)/(LN($C$8/$L$10))</f>
        <v>45.17987926582534</v>
      </c>
      <c r="E56" s="29"/>
      <c r="F56" s="29">
        <f t="shared" si="2"/>
        <v>0</v>
      </c>
      <c r="G56" s="8">
        <f t="shared" si="3"/>
        <v>0</v>
      </c>
      <c r="H56"/>
    </row>
    <row r="57" spans="1:8" ht="12.75">
      <c r="A57" s="4">
        <v>42</v>
      </c>
      <c r="B57" s="5">
        <f t="shared" si="0"/>
        <v>3.5436949696986777E-17</v>
      </c>
      <c r="C57" s="6">
        <f t="shared" si="1"/>
        <v>3.1042767934560414E-13</v>
      </c>
      <c r="D57" s="3">
        <f>A57*LN($C$9/$L$10)/(LN($C$8/$L$10))</f>
        <v>46.28182754060157</v>
      </c>
      <c r="E57" s="29"/>
      <c r="F57" s="29">
        <f t="shared" si="2"/>
        <v>0</v>
      </c>
      <c r="G57" s="8">
        <f t="shared" si="3"/>
        <v>0</v>
      </c>
      <c r="H57"/>
    </row>
    <row r="58" spans="1:8" ht="12.75">
      <c r="A58" s="4">
        <v>43</v>
      </c>
      <c r="B58" s="5">
        <f t="shared" si="0"/>
        <v>5.679556903260563E-18</v>
      </c>
      <c r="C58" s="6">
        <f t="shared" si="1"/>
        <v>4.975291847256253E-14</v>
      </c>
      <c r="D58" s="3">
        <f>A58*LN($C$9/$L$10)/(LN($C$8/$L$10))</f>
        <v>47.383775815377795</v>
      </c>
      <c r="E58" s="29"/>
      <c r="F58" s="29">
        <f t="shared" si="2"/>
        <v>0</v>
      </c>
      <c r="G58" s="8">
        <f t="shared" si="3"/>
        <v>0</v>
      </c>
      <c r="H58"/>
    </row>
    <row r="59" spans="1:8" ht="12.75">
      <c r="A59" s="4">
        <v>44</v>
      </c>
      <c r="B59" s="5">
        <f t="shared" si="0"/>
        <v>8.709394488881628E-19</v>
      </c>
      <c r="C59" s="6">
        <f t="shared" si="1"/>
        <v>7.629429572260307E-15</v>
      </c>
      <c r="D59" s="3">
        <f>A59*LN($C$9/$L$10)/(LN($C$8/$L$10))</f>
        <v>48.48572409015403</v>
      </c>
      <c r="E59" s="29"/>
      <c r="F59" s="29">
        <f t="shared" si="2"/>
        <v>0</v>
      </c>
      <c r="G59" s="8">
        <f t="shared" si="3"/>
        <v>0</v>
      </c>
      <c r="H59"/>
    </row>
    <row r="60" spans="1:8" ht="12.75">
      <c r="A60" s="4">
        <v>45</v>
      </c>
      <c r="B60" s="5">
        <f t="shared" si="0"/>
        <v>1.2778721762687095E-19</v>
      </c>
      <c r="C60" s="6">
        <f t="shared" si="1"/>
        <v>1.1194160264113896E-15</v>
      </c>
      <c r="D60" s="3">
        <f>A60*LN($C$9/$L$10)/(LN($C$8/$L$10))</f>
        <v>49.587672364930256</v>
      </c>
      <c r="E60" s="29"/>
      <c r="F60" s="29">
        <f t="shared" si="2"/>
        <v>0</v>
      </c>
      <c r="G60" s="8">
        <f t="shared" si="3"/>
        <v>0</v>
      </c>
      <c r="H60"/>
    </row>
    <row r="61" spans="1:8" ht="12.75">
      <c r="A61" s="4">
        <v>46</v>
      </c>
      <c r="B61" s="5">
        <f t="shared" si="0"/>
        <v>1.7940009765044807E-20</v>
      </c>
      <c r="C61" s="6">
        <f t="shared" si="1"/>
        <v>1.571544855417925E-16</v>
      </c>
      <c r="D61" s="3">
        <f>A61*LN($C$9/$L$10)/(LN($C$8/$L$10))</f>
        <v>50.68962063970648</v>
      </c>
      <c r="E61" s="29"/>
      <c r="F61" s="29">
        <f t="shared" si="2"/>
        <v>0</v>
      </c>
      <c r="G61" s="8">
        <f t="shared" si="3"/>
        <v>0</v>
      </c>
      <c r="H61"/>
    </row>
    <row r="62" spans="1:8" ht="12.75">
      <c r="A62" s="4">
        <v>47</v>
      </c>
      <c r="B62" s="5">
        <f t="shared" si="0"/>
        <v>2.4099219250306247E-21</v>
      </c>
      <c r="C62" s="6">
        <f t="shared" si="1"/>
        <v>2.111091606326827E-17</v>
      </c>
      <c r="D62" s="3">
        <f>A62*LN($C$9/$L$10)/(LN($C$8/$L$10))</f>
        <v>51.7915689144827</v>
      </c>
      <c r="E62" s="29"/>
      <c r="F62" s="29">
        <f t="shared" si="2"/>
        <v>0</v>
      </c>
      <c r="G62" s="8">
        <f t="shared" si="3"/>
        <v>0</v>
      </c>
      <c r="H62"/>
    </row>
    <row r="63" spans="1:8" ht="12.75">
      <c r="A63" s="4">
        <v>48</v>
      </c>
      <c r="B63" s="5">
        <f t="shared" si="0"/>
        <v>3.09768285594037E-22</v>
      </c>
      <c r="C63" s="6">
        <f t="shared" si="1"/>
        <v>2.7135701818037642E-18</v>
      </c>
      <c r="D63" s="3">
        <f>A63*LN($C$9/$L$10)/(LN($C$8/$L$10))</f>
        <v>52.89351718925894</v>
      </c>
      <c r="E63" s="29"/>
      <c r="F63" s="29">
        <f t="shared" si="2"/>
        <v>0</v>
      </c>
      <c r="G63" s="8">
        <f t="shared" si="3"/>
        <v>0</v>
      </c>
      <c r="H63"/>
    </row>
    <row r="64" spans="1:8" ht="12.75">
      <c r="A64" s="4">
        <v>49</v>
      </c>
      <c r="B64" s="5">
        <f t="shared" si="0"/>
        <v>3.8100679679148553E-23</v>
      </c>
      <c r="C64" s="6">
        <f t="shared" si="1"/>
        <v>3.3376195398934135E-19</v>
      </c>
      <c r="D64" s="3">
        <f>A64*LN($C$9/$L$10)/(LN($C$8/$L$10))</f>
        <v>53.99546546403517</v>
      </c>
      <c r="E64" s="29"/>
      <c r="F64" s="29">
        <f t="shared" si="2"/>
        <v>0</v>
      </c>
      <c r="G64" s="8">
        <f t="shared" si="3"/>
        <v>0</v>
      </c>
      <c r="H64"/>
    </row>
    <row r="65" spans="1:8" ht="12.75">
      <c r="A65" s="4">
        <v>50</v>
      </c>
      <c r="B65" s="5">
        <f t="shared" si="0"/>
        <v>4.484333505802977E-24</v>
      </c>
      <c r="C65" s="6">
        <f t="shared" si="1"/>
        <v>3.928276151083408E-20</v>
      </c>
      <c r="D65" s="3">
        <f>A65*LN($C$9/$L$10)/(LN($C$8/$L$10))</f>
        <v>55.09741373881139</v>
      </c>
      <c r="E65" s="29"/>
      <c r="F65" s="29">
        <f>E65*($K$7/1.225)</f>
        <v>0</v>
      </c>
      <c r="G65" s="8">
        <f t="shared" si="3"/>
        <v>0</v>
      </c>
      <c r="H65"/>
    </row>
    <row r="66" spans="1:8" ht="12.75">
      <c r="A66" s="1"/>
      <c r="H66" s="9"/>
    </row>
    <row r="67" spans="1:7" ht="12.75">
      <c r="A67" s="1"/>
      <c r="F67" s="11" t="s">
        <v>2</v>
      </c>
      <c r="G67" s="30">
        <f>SUM(G16:G66)</f>
        <v>2214.6781658856453</v>
      </c>
    </row>
  </sheetData>
  <mergeCells count="4">
    <mergeCell ref="E9:G9"/>
    <mergeCell ref="E10:G10"/>
    <mergeCell ref="E11:G11"/>
    <mergeCell ref="E12:G12"/>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M67"/>
  <sheetViews>
    <sheetView workbookViewId="0" topLeftCell="A1">
      <selection activeCell="J8" sqref="J8"/>
    </sheetView>
  </sheetViews>
  <sheetFormatPr defaultColWidth="9.140625" defaultRowHeight="12.75"/>
  <cols>
    <col min="1" max="1" width="14.57421875" style="0" customWidth="1"/>
    <col min="2" max="2" width="13.28125" style="0" customWidth="1"/>
    <col min="3" max="3" width="10.7109375" style="0" bestFit="1" customWidth="1"/>
    <col min="4" max="4" width="10.7109375" style="0" customWidth="1"/>
    <col min="5" max="5" width="11.140625" style="1" customWidth="1"/>
    <col min="6" max="7" width="10.140625" style="1" customWidth="1"/>
    <col min="8" max="8" width="11.421875" style="1" customWidth="1"/>
    <col min="9" max="9" width="11.57421875" style="0" customWidth="1"/>
    <col min="11" max="11" width="14.28125" style="0" customWidth="1"/>
    <col min="12" max="12" width="12.421875" style="0" customWidth="1"/>
  </cols>
  <sheetData>
    <row r="1" spans="1:8" s="14" customFormat="1" ht="18">
      <c r="A1" s="14" t="s">
        <v>20</v>
      </c>
      <c r="E1" s="15"/>
      <c r="F1" s="15"/>
      <c r="G1" s="27" t="str">
        <f>INT(H67*10)/10&amp;"  KWH"</f>
        <v>2044.1  KWH</v>
      </c>
      <c r="H1" s="15"/>
    </row>
    <row r="3" spans="1:2" ht="12.75">
      <c r="A3" s="11" t="s">
        <v>6</v>
      </c>
      <c r="B3" s="9"/>
    </row>
    <row r="7" spans="1:13" ht="51" customHeight="1">
      <c r="A7" s="16"/>
      <c r="B7" s="17" t="s">
        <v>12</v>
      </c>
      <c r="C7" s="18">
        <v>6</v>
      </c>
      <c r="D7" s="23"/>
      <c r="F7" s="17" t="s">
        <v>14</v>
      </c>
      <c r="G7" s="18">
        <v>825</v>
      </c>
      <c r="K7" s="39">
        <f>1.225-(1.194*0.0001)*G7*0.3048</f>
        <v>1.194975676</v>
      </c>
      <c r="L7" s="40">
        <f>0.44704*C7</f>
        <v>2.68224</v>
      </c>
      <c r="M7" s="41"/>
    </row>
    <row r="8" spans="1:13" ht="32.25" customHeight="1">
      <c r="A8" s="16"/>
      <c r="B8" s="17" t="s">
        <v>5</v>
      </c>
      <c r="C8" s="18">
        <v>30</v>
      </c>
      <c r="D8" s="23"/>
      <c r="H8" s="25" t="s">
        <v>32</v>
      </c>
      <c r="K8" s="42"/>
      <c r="L8" s="43">
        <f>C8*0.3048</f>
        <v>9.144</v>
      </c>
      <c r="M8" s="42"/>
    </row>
    <row r="9" spans="1:13" ht="27" customHeight="1">
      <c r="A9" s="16"/>
      <c r="B9" s="17" t="s">
        <v>4</v>
      </c>
      <c r="C9" s="18">
        <v>50</v>
      </c>
      <c r="D9" s="23"/>
      <c r="E9" s="26" t="s">
        <v>15</v>
      </c>
      <c r="F9" s="26"/>
      <c r="G9" s="26"/>
      <c r="H9" s="18"/>
      <c r="K9" s="42"/>
      <c r="L9" s="43">
        <f>C9*0.3048</f>
        <v>15.24</v>
      </c>
      <c r="M9" s="42">
        <f>IF(H9="","",0.1)</f>
      </c>
    </row>
    <row r="10" spans="1:13" ht="27" customHeight="1">
      <c r="A10" s="16"/>
      <c r="B10" s="17" t="s">
        <v>24</v>
      </c>
      <c r="C10" s="20">
        <v>0.5</v>
      </c>
      <c r="D10" s="24"/>
      <c r="E10" s="26" t="s">
        <v>16</v>
      </c>
      <c r="F10" s="26"/>
      <c r="G10" s="26"/>
      <c r="H10" s="18" t="s">
        <v>19</v>
      </c>
      <c r="K10" s="42"/>
      <c r="L10" s="43">
        <f>IF(MAX(M9:M12)=0,0.8,MAX(M9:M12))</f>
        <v>0.2</v>
      </c>
      <c r="M10" s="42">
        <f>IF(H10="","",0.2)</f>
        <v>0.2</v>
      </c>
    </row>
    <row r="11" spans="1:13" ht="27" customHeight="1">
      <c r="A11" s="16"/>
      <c r="B11" s="17" t="s">
        <v>9</v>
      </c>
      <c r="C11" s="18">
        <v>10</v>
      </c>
      <c r="D11" s="23"/>
      <c r="E11" s="26" t="s">
        <v>17</v>
      </c>
      <c r="F11" s="26"/>
      <c r="G11" s="26"/>
      <c r="H11" s="18"/>
      <c r="K11" s="42"/>
      <c r="L11" s="43">
        <f>C11*0.3048</f>
        <v>3.048</v>
      </c>
      <c r="M11" s="42">
        <f>IF(H11="","",0.4)</f>
      </c>
    </row>
    <row r="12" spans="1:13" ht="23.25" customHeight="1">
      <c r="A12" s="16"/>
      <c r="B12" s="17" t="s">
        <v>7</v>
      </c>
      <c r="C12" s="18">
        <v>8</v>
      </c>
      <c r="D12" s="23"/>
      <c r="E12" s="26" t="s">
        <v>18</v>
      </c>
      <c r="F12" s="26"/>
      <c r="G12" s="26"/>
      <c r="H12" s="18"/>
      <c r="K12" s="42"/>
      <c r="L12" s="40">
        <f>0.44704*C12</f>
        <v>3.57632</v>
      </c>
      <c r="M12" s="42">
        <f>IF(H12="","",0.8)</f>
      </c>
    </row>
    <row r="13" spans="1:13" ht="18" customHeight="1">
      <c r="A13" s="1"/>
      <c r="B13" s="19" t="s">
        <v>8</v>
      </c>
      <c r="C13" s="18">
        <v>30</v>
      </c>
      <c r="D13" s="23"/>
      <c r="K13" s="41"/>
      <c r="L13" s="40">
        <f>0.44704*C13</f>
        <v>13.4112</v>
      </c>
      <c r="M13" s="41"/>
    </row>
    <row r="14" spans="1:13" ht="12.75">
      <c r="A14" s="1"/>
      <c r="H14" s="13"/>
      <c r="K14" s="41"/>
      <c r="L14" s="41"/>
      <c r="M14" s="41"/>
    </row>
    <row r="15" spans="1:8" ht="51">
      <c r="A15" s="21" t="s">
        <v>11</v>
      </c>
      <c r="B15" s="21" t="s">
        <v>0</v>
      </c>
      <c r="C15" s="21" t="s">
        <v>1</v>
      </c>
      <c r="D15" s="12" t="s">
        <v>10</v>
      </c>
      <c r="E15" s="21" t="s">
        <v>13</v>
      </c>
      <c r="F15" s="21" t="s">
        <v>21</v>
      </c>
      <c r="G15" s="21" t="s">
        <v>23</v>
      </c>
      <c r="H15" s="7" t="s">
        <v>22</v>
      </c>
    </row>
    <row r="16" spans="1:8" ht="12.75">
      <c r="A16" s="4">
        <v>1</v>
      </c>
      <c r="B16" s="5">
        <f aca="true" t="shared" si="0" ref="B16:B47">(PI()/2)*(A16/($C$7^2))*EXP((-1*PI()/4)*(A16/$C$7)^2)</f>
        <v>0.04269161069828681</v>
      </c>
      <c r="C16" s="6">
        <f aca="true" t="shared" si="1" ref="C16:C65">365*24*B16</f>
        <v>373.97850971699245</v>
      </c>
      <c r="D16" s="3">
        <f>A16*LN($C$9/$L$10)/(LN($C$8/$L$10))</f>
        <v>1.101948274776228</v>
      </c>
      <c r="E16" s="6">
        <f>0.5*$K$7*(D16^3)</f>
        <v>0.7994893768192606</v>
      </c>
      <c r="F16" s="22">
        <f>E16*($C$11*0.3048)/1000</f>
        <v>0.002436843620545106</v>
      </c>
      <c r="G16" s="22">
        <f>IF(D16&lt;$C$12,0,IF(D16&gt;C13,0,F16*$C$10*0.596))</f>
        <v>0</v>
      </c>
      <c r="H16" s="8">
        <f>C16*G16</f>
        <v>0</v>
      </c>
    </row>
    <row r="17" spans="1:8" ht="12.75">
      <c r="A17" s="4">
        <v>2</v>
      </c>
      <c r="B17" s="5">
        <f t="shared" si="0"/>
        <v>0.07997385460146407</v>
      </c>
      <c r="C17" s="6">
        <f t="shared" si="1"/>
        <v>700.5709663088253</v>
      </c>
      <c r="D17" s="3">
        <f>A17*LN($C$9/$L$10)/(LN($C$8/$L$10))</f>
        <v>2.203896549552456</v>
      </c>
      <c r="E17" s="6">
        <f aca="true" t="shared" si="2" ref="E17:E65">0.5*$K$7*(D17^3)</f>
        <v>6.395915014554085</v>
      </c>
      <c r="F17" s="22">
        <f aca="true" t="shared" si="3" ref="F17:F65">E17*($C$11*0.3048)/1000</f>
        <v>0.019494748964360847</v>
      </c>
      <c r="G17" s="22">
        <f aca="true" t="shared" si="4" ref="G17:G65">IF(D17&lt;$C$12,0,IF(D17&gt;C14,0,F17*$C$10*0.596))</f>
        <v>0</v>
      </c>
      <c r="H17" s="8">
        <f>C17*G17</f>
        <v>0</v>
      </c>
    </row>
    <row r="18" spans="1:8" ht="12.75">
      <c r="A18" s="4">
        <v>3</v>
      </c>
      <c r="B18" s="5">
        <f t="shared" si="0"/>
        <v>0.1075635454762754</v>
      </c>
      <c r="C18" s="6">
        <f t="shared" si="1"/>
        <v>942.2566583721725</v>
      </c>
      <c r="D18" s="3">
        <f>A18*LN($C$9/$L$10)/(LN($C$8/$L$10))</f>
        <v>3.3058448243286835</v>
      </c>
      <c r="E18" s="6">
        <f t="shared" si="2"/>
        <v>21.586213174120033</v>
      </c>
      <c r="F18" s="22">
        <f t="shared" si="3"/>
        <v>0.06579477775471786</v>
      </c>
      <c r="G18" s="22">
        <f t="shared" si="4"/>
        <v>0</v>
      </c>
      <c r="H18" s="8">
        <f>C18*G18</f>
        <v>0</v>
      </c>
    </row>
    <row r="19" spans="1:8" ht="12.75">
      <c r="A19" s="4">
        <v>4</v>
      </c>
      <c r="B19" s="5">
        <f t="shared" si="0"/>
        <v>0.12310621958102047</v>
      </c>
      <c r="C19" s="6">
        <f t="shared" si="1"/>
        <v>1078.4104835297394</v>
      </c>
      <c r="D19" s="3">
        <f>A19*LN($C$9/$L$10)/(LN($C$8/$L$10))</f>
        <v>4.407793099104912</v>
      </c>
      <c r="E19" s="6">
        <f t="shared" si="2"/>
        <v>51.16732011643268</v>
      </c>
      <c r="F19" s="22">
        <f t="shared" si="3"/>
        <v>0.15595799171488678</v>
      </c>
      <c r="G19" s="22">
        <f t="shared" si="4"/>
        <v>0</v>
      </c>
      <c r="H19" s="8">
        <f>C19*G19</f>
        <v>0</v>
      </c>
    </row>
    <row r="20" spans="1:8" ht="12.75">
      <c r="A20" s="4">
        <v>5</v>
      </c>
      <c r="B20" s="5">
        <f t="shared" si="0"/>
        <v>0.12644931639865412</v>
      </c>
      <c r="C20" s="6">
        <f t="shared" si="1"/>
        <v>1107.69601165221</v>
      </c>
      <c r="D20" s="3">
        <f>A20*LN($C$9/$L$10)/(LN($C$8/$L$10))</f>
        <v>5.509741373881139</v>
      </c>
      <c r="E20" s="6">
        <f t="shared" si="2"/>
        <v>99.93617210240757</v>
      </c>
      <c r="F20" s="22">
        <f t="shared" si="3"/>
        <v>0.30460545256813826</v>
      </c>
      <c r="G20" s="22">
        <f t="shared" si="4"/>
        <v>0</v>
      </c>
      <c r="H20" s="8">
        <f>C20*G20</f>
        <v>0</v>
      </c>
    </row>
    <row r="21" spans="1:8" ht="12.75">
      <c r="A21" s="4">
        <v>6</v>
      </c>
      <c r="B21" s="5">
        <f t="shared" si="0"/>
        <v>0.11936432272342817</v>
      </c>
      <c r="C21" s="6">
        <f t="shared" si="1"/>
        <v>1045.6314670572308</v>
      </c>
      <c r="D21" s="3">
        <f>A21*LN($C$9/$L$10)/(LN($C$8/$L$10))</f>
        <v>6.611689648657367</v>
      </c>
      <c r="E21" s="6">
        <f t="shared" si="2"/>
        <v>172.68970539296026</v>
      </c>
      <c r="F21" s="22">
        <f t="shared" si="3"/>
        <v>0.5263582220377429</v>
      </c>
      <c r="G21" s="22">
        <f t="shared" si="4"/>
        <v>0</v>
      </c>
      <c r="H21" s="8">
        <f>C21*G21</f>
        <v>0</v>
      </c>
    </row>
    <row r="22" spans="1:8" ht="12.75">
      <c r="A22" s="4">
        <v>7</v>
      </c>
      <c r="B22" s="5">
        <f t="shared" si="0"/>
        <v>0.10486932256065015</v>
      </c>
      <c r="C22" s="6">
        <f t="shared" si="1"/>
        <v>918.6552656312954</v>
      </c>
      <c r="D22" s="3">
        <f>A22*LN($C$9/$L$10)/(LN($C$8/$L$10))</f>
        <v>7.713637923433596</v>
      </c>
      <c r="E22" s="6">
        <f t="shared" si="2"/>
        <v>274.2248562490064</v>
      </c>
      <c r="F22" s="22">
        <f t="shared" si="3"/>
        <v>0.8358373618469714</v>
      </c>
      <c r="G22" s="22">
        <f t="shared" si="4"/>
        <v>0</v>
      </c>
      <c r="H22" s="8">
        <f>C22*G22</f>
        <v>0</v>
      </c>
    </row>
    <row r="23" spans="1:8" ht="12.75">
      <c r="A23" s="4">
        <v>8</v>
      </c>
      <c r="B23" s="5">
        <f t="shared" si="0"/>
        <v>0.08640082167566965</v>
      </c>
      <c r="C23" s="6">
        <f t="shared" si="1"/>
        <v>756.8711978788662</v>
      </c>
      <c r="D23" s="3">
        <f>A23*LN($C$9/$L$10)/(LN($C$8/$L$10))</f>
        <v>8.815586198209823</v>
      </c>
      <c r="E23" s="6">
        <f t="shared" si="2"/>
        <v>409.3385609314614</v>
      </c>
      <c r="F23" s="22">
        <f t="shared" si="3"/>
        <v>1.2476639337190942</v>
      </c>
      <c r="G23" s="22">
        <f t="shared" si="4"/>
        <v>0.37180385224829005</v>
      </c>
      <c r="H23" s="8">
        <f>C23*G23</f>
        <v>281.4076270271402</v>
      </c>
    </row>
    <row r="24" spans="1:8" ht="12.75">
      <c r="A24" s="4">
        <v>9</v>
      </c>
      <c r="B24" s="5">
        <f t="shared" si="0"/>
        <v>0.06708079279318213</v>
      </c>
      <c r="C24" s="6">
        <f t="shared" si="1"/>
        <v>587.6277448682755</v>
      </c>
      <c r="D24" s="3">
        <f>A24*LN($C$9/$L$10)/(LN($C$8/$L$10))</f>
        <v>9.91753447298605</v>
      </c>
      <c r="E24" s="6">
        <f t="shared" si="2"/>
        <v>582.8277557012408</v>
      </c>
      <c r="F24" s="22">
        <f t="shared" si="3"/>
        <v>1.776458999377382</v>
      </c>
      <c r="G24" s="22">
        <f t="shared" si="4"/>
        <v>0.5293847818144598</v>
      </c>
      <c r="H24" s="8">
        <f>C24*G24</f>
        <v>311.0811855052151</v>
      </c>
    </row>
    <row r="25" spans="1:8" ht="12.75">
      <c r="A25" s="4">
        <v>10</v>
      </c>
      <c r="B25" s="5">
        <f t="shared" si="0"/>
        <v>0.049241786090310644</v>
      </c>
      <c r="C25" s="6">
        <f t="shared" si="1"/>
        <v>431.35804615112124</v>
      </c>
      <c r="D25" s="3">
        <f>A25*LN($C$9/$L$10)/(LN($C$8/$L$10))</f>
        <v>11.019482747762279</v>
      </c>
      <c r="E25" s="6">
        <f t="shared" si="2"/>
        <v>799.4893768192605</v>
      </c>
      <c r="F25" s="22">
        <f t="shared" si="3"/>
        <v>2.436843620545106</v>
      </c>
      <c r="G25" s="22">
        <f t="shared" si="4"/>
        <v>0.7261793989224415</v>
      </c>
      <c r="H25" s="8">
        <f>C25*G25</f>
        <v>313.24332667438</v>
      </c>
    </row>
    <row r="26" spans="1:8" ht="12.75">
      <c r="A26" s="4">
        <v>11</v>
      </c>
      <c r="B26" s="5">
        <f t="shared" si="0"/>
        <v>0.034257441972441856</v>
      </c>
      <c r="C26" s="6">
        <f t="shared" si="1"/>
        <v>300.09519167859065</v>
      </c>
      <c r="D26" s="3">
        <f>A26*LN($C$9/$L$10)/(LN($C$8/$L$10))</f>
        <v>12.121431022538507</v>
      </c>
      <c r="E26" s="6">
        <f t="shared" si="2"/>
        <v>1064.120360546436</v>
      </c>
      <c r="F26" s="22">
        <f t="shared" si="3"/>
        <v>3.2434388589455367</v>
      </c>
      <c r="G26" s="22">
        <f t="shared" si="4"/>
        <v>0.9665447799657699</v>
      </c>
      <c r="H26" s="8">
        <f>C26*G26</f>
        <v>290.05544100976897</v>
      </c>
    </row>
    <row r="27" spans="1:8" ht="12.75">
      <c r="A27" s="4">
        <v>12</v>
      </c>
      <c r="B27" s="5">
        <f t="shared" si="0"/>
        <v>0.022626754691716117</v>
      </c>
      <c r="C27" s="6">
        <f t="shared" si="1"/>
        <v>198.2103710994332</v>
      </c>
      <c r="D27" s="3">
        <f>A27*LN($C$9/$L$10)/(LN($C$8/$L$10))</f>
        <v>13.223379297314734</v>
      </c>
      <c r="E27" s="6">
        <f t="shared" si="2"/>
        <v>1381.517643143682</v>
      </c>
      <c r="F27" s="22">
        <f t="shared" si="3"/>
        <v>4.210865776301943</v>
      </c>
      <c r="G27" s="22">
        <f t="shared" si="4"/>
        <v>1.254838001337979</v>
      </c>
      <c r="H27" s="8">
        <f>C27*G27</f>
        <v>248.72190591487185</v>
      </c>
    </row>
    <row r="28" spans="1:8" ht="12.75">
      <c r="A28" s="4">
        <v>13</v>
      </c>
      <c r="B28" s="5">
        <f t="shared" si="0"/>
        <v>0.014207363100739431</v>
      </c>
      <c r="C28" s="6">
        <f t="shared" si="1"/>
        <v>124.45650076247742</v>
      </c>
      <c r="D28" s="3">
        <f>A28*LN($C$9/$L$10)/(LN($C$8/$L$10))</f>
        <v>14.325327572090961</v>
      </c>
      <c r="E28" s="6">
        <f t="shared" si="2"/>
        <v>1756.478160871915</v>
      </c>
      <c r="F28" s="22">
        <f t="shared" si="3"/>
        <v>5.353745434337597</v>
      </c>
      <c r="G28" s="22">
        <f t="shared" si="4"/>
        <v>1.5954161394326039</v>
      </c>
      <c r="H28" s="8">
        <f>C28*G28</f>
        <v>198.55990997376264</v>
      </c>
    </row>
    <row r="29" spans="1:8" ht="12.75">
      <c r="A29" s="4">
        <v>14</v>
      </c>
      <c r="B29" s="5">
        <f t="shared" si="0"/>
        <v>0.008489411728936046</v>
      </c>
      <c r="C29" s="6">
        <f t="shared" si="1"/>
        <v>74.36724674547976</v>
      </c>
      <c r="D29" s="3">
        <f>A29*LN($C$9/$L$10)/(LN($C$8/$L$10))</f>
        <v>15.427275846867191</v>
      </c>
      <c r="E29" s="6">
        <f t="shared" si="2"/>
        <v>2193.798849992051</v>
      </c>
      <c r="F29" s="22">
        <f t="shared" si="3"/>
        <v>6.6866988947757715</v>
      </c>
      <c r="G29" s="22">
        <f t="shared" si="4"/>
        <v>1.9926362706431797</v>
      </c>
      <c r="H29" s="8">
        <f>C29*G29</f>
        <v>148.18687321291392</v>
      </c>
    </row>
    <row r="30" spans="1:8" ht="12.75">
      <c r="A30" s="4">
        <v>15</v>
      </c>
      <c r="B30" s="5">
        <f t="shared" si="0"/>
        <v>0.004831373161389358</v>
      </c>
      <c r="C30" s="6">
        <f t="shared" si="1"/>
        <v>42.32282889377078</v>
      </c>
      <c r="D30" s="3">
        <f>A30*LN($C$9/$L$10)/(LN($C$8/$L$10))</f>
        <v>16.52922412164342</v>
      </c>
      <c r="E30" s="6">
        <f t="shared" si="2"/>
        <v>2698.276646765005</v>
      </c>
      <c r="F30" s="22">
        <f t="shared" si="3"/>
        <v>8.224347219339736</v>
      </c>
      <c r="G30" s="22">
        <f t="shared" si="4"/>
        <v>2.450855471363241</v>
      </c>
      <c r="H30" s="8">
        <f>C30*G30</f>
        <v>103.7271367578684</v>
      </c>
    </row>
    <row r="31" spans="1:8" ht="12.75">
      <c r="A31" s="4">
        <v>16</v>
      </c>
      <c r="B31" s="5">
        <f t="shared" si="0"/>
        <v>0.002620471233392012</v>
      </c>
      <c r="C31" s="6">
        <f t="shared" si="1"/>
        <v>22.955328004514026</v>
      </c>
      <c r="D31" s="3">
        <f>A31*LN($C$9/$L$10)/(LN($C$8/$L$10))</f>
        <v>17.631172396419647</v>
      </c>
      <c r="E31" s="6">
        <f t="shared" si="2"/>
        <v>3274.7084874516913</v>
      </c>
      <c r="F31" s="22">
        <f t="shared" si="3"/>
        <v>9.981311469752754</v>
      </c>
      <c r="G31" s="22">
        <f t="shared" si="4"/>
        <v>2.9744308179863204</v>
      </c>
      <c r="H31" s="8">
        <f>C31*G31</f>
        <v>68.27903505361094</v>
      </c>
    </row>
    <row r="32" spans="1:8" ht="12.75">
      <c r="A32" s="4">
        <v>17</v>
      </c>
      <c r="B32" s="5">
        <f t="shared" si="0"/>
        <v>0.001355310347758186</v>
      </c>
      <c r="C32" s="6">
        <f t="shared" si="1"/>
        <v>11.872518646361709</v>
      </c>
      <c r="D32" s="3">
        <f>A32*LN($C$9/$L$10)/(LN($C$8/$L$10))</f>
        <v>18.733120671195874</v>
      </c>
      <c r="E32" s="6">
        <f t="shared" si="2"/>
        <v>3927.8913083130265</v>
      </c>
      <c r="F32" s="22">
        <f t="shared" si="3"/>
        <v>11.972212707738105</v>
      </c>
      <c r="G32" s="22">
        <f t="shared" si="4"/>
        <v>3.567719386905955</v>
      </c>
      <c r="H32" s="8">
        <f>C32*G32</f>
        <v>42.35781494602711</v>
      </c>
    </row>
    <row r="33" spans="1:8" ht="12.75">
      <c r="A33" s="4">
        <v>18</v>
      </c>
      <c r="B33" s="5">
        <f t="shared" si="0"/>
        <v>0.0006687181106853383</v>
      </c>
      <c r="C33" s="6">
        <f t="shared" si="1"/>
        <v>5.857970649603564</v>
      </c>
      <c r="D33" s="3">
        <f>A33*LN($C$9/$L$10)/(LN($C$8/$L$10))</f>
        <v>19.8350689459721</v>
      </c>
      <c r="E33" s="6">
        <f t="shared" si="2"/>
        <v>4662.622045609926</v>
      </c>
      <c r="F33" s="22">
        <f t="shared" si="3"/>
        <v>14.211671995019056</v>
      </c>
      <c r="G33" s="22">
        <f t="shared" si="4"/>
        <v>4.235078254515678</v>
      </c>
      <c r="H33" s="8">
        <f>C33*G33</f>
        <v>24.808964113727136</v>
      </c>
    </row>
    <row r="34" spans="1:8" ht="12.75">
      <c r="A34" s="4">
        <v>19</v>
      </c>
      <c r="B34" s="5">
        <f t="shared" si="0"/>
        <v>0.00031488738102351414</v>
      </c>
      <c r="C34" s="6">
        <f t="shared" si="1"/>
        <v>2.758413457765984</v>
      </c>
      <c r="D34" s="3">
        <f>A34*LN($C$9/$L$10)/(LN($C$8/$L$10))</f>
        <v>20.93701722074833</v>
      </c>
      <c r="E34" s="6">
        <f t="shared" si="2"/>
        <v>5483.697635603309</v>
      </c>
      <c r="F34" s="22">
        <f t="shared" si="3"/>
        <v>16.714310393318886</v>
      </c>
      <c r="G34" s="22">
        <f t="shared" si="4"/>
        <v>4.980864497209028</v>
      </c>
      <c r="H34" s="8">
        <f>C34*G34</f>
        <v>13.739283660410184</v>
      </c>
    </row>
    <row r="35" spans="1:8" ht="12.75">
      <c r="A35" s="4">
        <v>20</v>
      </c>
      <c r="B35" s="5">
        <f t="shared" si="0"/>
        <v>0.00014155103711546097</v>
      </c>
      <c r="C35" s="6">
        <f t="shared" si="1"/>
        <v>1.239987085131438</v>
      </c>
      <c r="D35" s="3">
        <f>A35*LN($C$9/$L$10)/(LN($C$8/$L$10))</f>
        <v>22.038965495524558</v>
      </c>
      <c r="E35" s="6">
        <f t="shared" si="2"/>
        <v>6395.915014554084</v>
      </c>
      <c r="F35" s="22">
        <f t="shared" si="3"/>
        <v>19.49474896436085</v>
      </c>
      <c r="G35" s="22">
        <f t="shared" si="4"/>
        <v>0</v>
      </c>
      <c r="H35" s="8">
        <f>C35*G35</f>
        <v>0</v>
      </c>
    </row>
    <row r="36" spans="1:8" ht="12.75">
      <c r="A36" s="4">
        <v>21</v>
      </c>
      <c r="B36" s="5">
        <f t="shared" si="0"/>
        <v>6.076228359660868E-05</v>
      </c>
      <c r="C36" s="6">
        <f t="shared" si="1"/>
        <v>0.532277604306292</v>
      </c>
      <c r="D36" s="3">
        <f>A36*LN($C$9/$L$10)/(LN($C$8/$L$10))</f>
        <v>23.140913770300784</v>
      </c>
      <c r="E36" s="6">
        <f t="shared" si="2"/>
        <v>7404.071118723169</v>
      </c>
      <c r="F36" s="22">
        <f t="shared" si="3"/>
        <v>22.56760876986822</v>
      </c>
      <c r="G36" s="22">
        <f t="shared" si="4"/>
        <v>0</v>
      </c>
      <c r="H36" s="8">
        <f>C36*G36</f>
        <v>0</v>
      </c>
    </row>
    <row r="37" spans="1:8" ht="12.75">
      <c r="A37" s="4">
        <v>22</v>
      </c>
      <c r="B37" s="5">
        <f t="shared" si="0"/>
        <v>2.4912627503780028E-05</v>
      </c>
      <c r="C37" s="6">
        <f t="shared" si="1"/>
        <v>0.21823461693311305</v>
      </c>
      <c r="D37" s="3">
        <f>A37*LN($C$9/$L$10)/(LN($C$8/$L$10))</f>
        <v>24.242862045077015</v>
      </c>
      <c r="E37" s="6">
        <f t="shared" si="2"/>
        <v>8512.962884371487</v>
      </c>
      <c r="F37" s="22">
        <f t="shared" si="3"/>
        <v>25.947510871564294</v>
      </c>
      <c r="G37" s="22">
        <f t="shared" si="4"/>
        <v>0</v>
      </c>
      <c r="H37" s="8">
        <f>C37*G37</f>
        <v>0</v>
      </c>
    </row>
    <row r="38" spans="1:8" ht="12.75">
      <c r="A38" s="4">
        <v>23</v>
      </c>
      <c r="B38" s="5">
        <f t="shared" si="0"/>
        <v>9.757916086641002E-06</v>
      </c>
      <c r="C38" s="6">
        <f t="shared" si="1"/>
        <v>0.08547934491897517</v>
      </c>
      <c r="D38" s="3">
        <f>A38*LN($C$9/$L$10)/(LN($C$8/$L$10))</f>
        <v>25.34481031985324</v>
      </c>
      <c r="E38" s="6">
        <f t="shared" si="2"/>
        <v>9727.387247759943</v>
      </c>
      <c r="F38" s="22">
        <f t="shared" si="3"/>
        <v>29.64907633117231</v>
      </c>
      <c r="G38" s="22">
        <f t="shared" si="4"/>
        <v>0</v>
      </c>
      <c r="H38" s="8">
        <f>C38*G38</f>
        <v>0</v>
      </c>
    </row>
    <row r="39" spans="1:8" ht="12.75">
      <c r="A39" s="4">
        <v>24</v>
      </c>
      <c r="B39" s="5">
        <f t="shared" si="0"/>
        <v>3.6519363756062347E-06</v>
      </c>
      <c r="C39" s="6">
        <f t="shared" si="1"/>
        <v>0.031990962650310616</v>
      </c>
      <c r="D39" s="3">
        <f>A39*LN($C$9/$L$10)/(LN($C$8/$L$10))</f>
        <v>26.44675859462947</v>
      </c>
      <c r="E39" s="6">
        <f t="shared" si="2"/>
        <v>11052.141145149457</v>
      </c>
      <c r="F39" s="22">
        <f t="shared" si="3"/>
        <v>33.68692621041554</v>
      </c>
      <c r="G39" s="22">
        <f t="shared" si="4"/>
        <v>0</v>
      </c>
      <c r="H39" s="8">
        <f>C39*G39</f>
        <v>0</v>
      </c>
    </row>
    <row r="40" spans="1:8" ht="12.75">
      <c r="A40" s="4">
        <v>25</v>
      </c>
      <c r="B40" s="5">
        <f t="shared" si="0"/>
        <v>1.3061258229739227E-06</v>
      </c>
      <c r="C40" s="6">
        <f t="shared" si="1"/>
        <v>0.011441662209251562</v>
      </c>
      <c r="D40" s="3">
        <f>A40*LN($C$9/$L$10)/(LN($C$8/$L$10))</f>
        <v>27.548706869405695</v>
      </c>
      <c r="E40" s="6">
        <f t="shared" si="2"/>
        <v>12492.021512800944</v>
      </c>
      <c r="F40" s="22">
        <f t="shared" si="3"/>
        <v>38.075681571017284</v>
      </c>
      <c r="G40" s="22">
        <f t="shared" si="4"/>
        <v>0</v>
      </c>
      <c r="H40" s="8">
        <f>C40*G40</f>
        <v>0</v>
      </c>
    </row>
    <row r="41" spans="1:8" ht="12.75">
      <c r="A41" s="4">
        <v>26</v>
      </c>
      <c r="B41" s="5">
        <f t="shared" si="0"/>
        <v>4.464797124531219E-07</v>
      </c>
      <c r="C41" s="6">
        <f t="shared" si="1"/>
        <v>0.003911162281089348</v>
      </c>
      <c r="D41" s="3">
        <f>A41*LN($C$9/$L$10)/(LN($C$8/$L$10))</f>
        <v>28.650655144181922</v>
      </c>
      <c r="E41" s="6">
        <f t="shared" si="2"/>
        <v>14051.82528697532</v>
      </c>
      <c r="F41" s="22">
        <f t="shared" si="3"/>
        <v>42.829963474700776</v>
      </c>
      <c r="G41" s="22">
        <f t="shared" si="4"/>
        <v>0</v>
      </c>
      <c r="H41" s="8">
        <f>C41*G41</f>
        <v>0</v>
      </c>
    </row>
    <row r="42" spans="1:8" ht="12.75">
      <c r="A42" s="4">
        <v>27</v>
      </c>
      <c r="B42" s="5">
        <f t="shared" si="0"/>
        <v>1.4589010911145687E-07</v>
      </c>
      <c r="C42" s="6">
        <f t="shared" si="1"/>
        <v>0.0012779973558163622</v>
      </c>
      <c r="D42" s="3">
        <f>A42*LN($C$9/$L$10)/(LN($C$8/$L$10))</f>
        <v>29.752603418958152</v>
      </c>
      <c r="E42" s="6">
        <f t="shared" si="2"/>
        <v>15736.349403933504</v>
      </c>
      <c r="F42" s="22">
        <f t="shared" si="3"/>
        <v>47.96439298318932</v>
      </c>
      <c r="G42" s="22">
        <f t="shared" si="4"/>
        <v>0</v>
      </c>
      <c r="H42" s="8">
        <f>C42*G42</f>
        <v>0</v>
      </c>
    </row>
    <row r="43" spans="1:8" ht="12.75">
      <c r="A43" s="4">
        <v>28</v>
      </c>
      <c r="B43" s="5">
        <f t="shared" si="0"/>
        <v>4.557263580559561E-08</v>
      </c>
      <c r="C43" s="6">
        <f t="shared" si="1"/>
        <v>0.0003992162896570176</v>
      </c>
      <c r="D43" s="3">
        <f>A43*LN($C$9/$L$10)/(LN($C$8/$L$10))</f>
        <v>30.854551693734383</v>
      </c>
      <c r="E43" s="6">
        <f t="shared" si="2"/>
        <v>17550.39079993641</v>
      </c>
      <c r="F43" s="22">
        <f t="shared" si="3"/>
        <v>53.49359115820617</v>
      </c>
      <c r="G43" s="22">
        <f t="shared" si="4"/>
        <v>0</v>
      </c>
      <c r="H43" s="8">
        <f>C43*G43</f>
        <v>0</v>
      </c>
    </row>
    <row r="44" spans="1:8" ht="12.75">
      <c r="A44" s="4">
        <v>29</v>
      </c>
      <c r="B44" s="5">
        <f t="shared" si="0"/>
        <v>1.361063771846491E-08</v>
      </c>
      <c r="C44" s="6">
        <f t="shared" si="1"/>
        <v>0.00011922918641375262</v>
      </c>
      <c r="D44" s="3">
        <f>A44*LN($C$9/$L$10)/(LN($C$8/$L$10))</f>
        <v>31.95649996851061</v>
      </c>
      <c r="E44" s="6">
        <f t="shared" si="2"/>
        <v>19498.746411244945</v>
      </c>
      <c r="F44" s="22">
        <f t="shared" si="3"/>
        <v>59.43217906147459</v>
      </c>
      <c r="G44" s="22">
        <f t="shared" si="4"/>
        <v>0</v>
      </c>
      <c r="H44" s="8">
        <f>C44*G44</f>
        <v>0</v>
      </c>
    </row>
    <row r="45" spans="1:8" ht="12.75">
      <c r="A45" s="4">
        <v>30</v>
      </c>
      <c r="B45" s="5">
        <f t="shared" si="0"/>
        <v>3.886748319595058E-09</v>
      </c>
      <c r="C45" s="6">
        <f t="shared" si="1"/>
        <v>3.404791527965271E-05</v>
      </c>
      <c r="D45" s="3">
        <f>A45*LN($C$9/$L$10)/(LN($C$8/$L$10))</f>
        <v>33.05844824328684</v>
      </c>
      <c r="E45" s="6">
        <f t="shared" si="2"/>
        <v>21586.21317412004</v>
      </c>
      <c r="F45" s="22">
        <f t="shared" si="3"/>
        <v>65.79477775471788</v>
      </c>
      <c r="G45" s="22">
        <f t="shared" si="4"/>
        <v>0</v>
      </c>
      <c r="H45" s="8">
        <f>C45*G45</f>
        <v>0</v>
      </c>
    </row>
    <row r="46" spans="1:8" ht="12.75">
      <c r="A46" s="4">
        <v>31</v>
      </c>
      <c r="B46" s="5">
        <f t="shared" si="0"/>
        <v>1.0613579452689894E-09</v>
      </c>
      <c r="C46" s="6">
        <f t="shared" si="1"/>
        <v>9.297495600556348E-06</v>
      </c>
      <c r="D46" s="3">
        <f>A46*LN($C$9/$L$10)/(LN($C$8/$L$10))</f>
        <v>34.16039651806307</v>
      </c>
      <c r="E46" s="6">
        <f t="shared" si="2"/>
        <v>23817.588024822595</v>
      </c>
      <c r="F46" s="22">
        <f t="shared" si="3"/>
        <v>72.59600829965927</v>
      </c>
      <c r="G46" s="22">
        <f t="shared" si="4"/>
        <v>0</v>
      </c>
      <c r="H46" s="8">
        <f>C46*G46</f>
        <v>0</v>
      </c>
    </row>
    <row r="47" spans="1:8" ht="12.75">
      <c r="A47" s="4">
        <v>32</v>
      </c>
      <c r="B47" s="5">
        <f t="shared" si="0"/>
        <v>2.771631605497253E-10</v>
      </c>
      <c r="C47" s="6">
        <f t="shared" si="1"/>
        <v>2.4279492864155933E-06</v>
      </c>
      <c r="D47" s="3">
        <f>A47*LN($C$9/$L$10)/(LN($C$8/$L$10))</f>
        <v>35.26234479283929</v>
      </c>
      <c r="E47" s="6">
        <f t="shared" si="2"/>
        <v>26197.66789961353</v>
      </c>
      <c r="F47" s="22">
        <f t="shared" si="3"/>
        <v>79.85049175802203</v>
      </c>
      <c r="G47" s="22">
        <f t="shared" si="4"/>
        <v>0</v>
      </c>
      <c r="H47" s="8">
        <f>C47*G47</f>
        <v>0</v>
      </c>
    </row>
    <row r="48" spans="1:8" ht="12.75">
      <c r="A48" s="4">
        <v>33</v>
      </c>
      <c r="B48" s="5">
        <f aca="true" t="shared" si="5" ref="B48:B65">(PI()/2)*(A48/($C$7^2))*EXP((-1*PI()/4)*(A48/$C$7)^2)</f>
        <v>6.922056506235809E-11</v>
      </c>
      <c r="C48" s="6">
        <f t="shared" si="1"/>
        <v>6.063721499462568E-07</v>
      </c>
      <c r="D48" s="3">
        <f>A48*LN($C$9/$L$10)/(LN($C$8/$L$10))</f>
        <v>36.36429306761552</v>
      </c>
      <c r="E48" s="6">
        <f t="shared" si="2"/>
        <v>28731.249734753765</v>
      </c>
      <c r="F48" s="22">
        <f t="shared" si="3"/>
        <v>87.57284919152947</v>
      </c>
      <c r="G48" s="22">
        <f t="shared" si="4"/>
        <v>0</v>
      </c>
      <c r="H48" s="8">
        <f>C48*G48</f>
        <v>0</v>
      </c>
    </row>
    <row r="49" spans="1:8" ht="12.75">
      <c r="A49" s="4">
        <v>34</v>
      </c>
      <c r="B49" s="5">
        <f t="shared" si="5"/>
        <v>1.6534311656097904E-11</v>
      </c>
      <c r="C49" s="6">
        <f t="shared" si="1"/>
        <v>1.4484057010741764E-07</v>
      </c>
      <c r="D49" s="3">
        <f>A49*LN($C$9/$L$10)/(LN($C$8/$L$10))</f>
        <v>37.46624134239175</v>
      </c>
      <c r="E49" s="6">
        <f t="shared" si="2"/>
        <v>31423.13046650421</v>
      </c>
      <c r="F49" s="22">
        <f t="shared" si="3"/>
        <v>95.77770166190484</v>
      </c>
      <c r="G49" s="22">
        <f t="shared" si="4"/>
        <v>0</v>
      </c>
      <c r="H49" s="8">
        <f>C49*G49</f>
        <v>0</v>
      </c>
    </row>
    <row r="50" spans="1:8" ht="12.75">
      <c r="A50" s="4">
        <v>35</v>
      </c>
      <c r="B50" s="5">
        <f t="shared" si="5"/>
        <v>3.7775617925609815E-12</v>
      </c>
      <c r="C50" s="6">
        <f t="shared" si="1"/>
        <v>3.30914413028342E-08</v>
      </c>
      <c r="D50" s="3">
        <f>A50*LN($C$9/$L$10)/(LN($C$8/$L$10))</f>
        <v>38.568189617167974</v>
      </c>
      <c r="E50" s="6">
        <f t="shared" si="2"/>
        <v>34278.107031125786</v>
      </c>
      <c r="F50" s="22">
        <f t="shared" si="3"/>
        <v>104.4796702308714</v>
      </c>
      <c r="G50" s="22">
        <f t="shared" si="4"/>
        <v>0</v>
      </c>
      <c r="H50" s="8">
        <f>C50*G50</f>
        <v>0</v>
      </c>
    </row>
    <row r="51" spans="1:8" ht="12.75">
      <c r="A51" s="4">
        <v>36</v>
      </c>
      <c r="B51" s="5">
        <f t="shared" si="5"/>
        <v>8.255296809995969E-13</v>
      </c>
      <c r="C51" s="6">
        <f t="shared" si="1"/>
        <v>7.231640005556468E-09</v>
      </c>
      <c r="D51" s="3">
        <f>A51*LN($C$9/$L$10)/(LN($C$8/$L$10))</f>
        <v>39.6701378919442</v>
      </c>
      <c r="E51" s="6">
        <f t="shared" si="2"/>
        <v>37300.97636487941</v>
      </c>
      <c r="F51" s="22">
        <f t="shared" si="3"/>
        <v>113.69337596015245</v>
      </c>
      <c r="G51" s="22">
        <f t="shared" si="4"/>
        <v>0</v>
      </c>
      <c r="H51" s="8">
        <f>C51*G51</f>
        <v>0</v>
      </c>
    </row>
    <row r="52" spans="1:8" ht="12.75">
      <c r="A52" s="4">
        <v>37</v>
      </c>
      <c r="B52" s="5">
        <f t="shared" si="5"/>
        <v>1.72571432056654E-13</v>
      </c>
      <c r="C52" s="6">
        <f t="shared" si="1"/>
        <v>1.511725744816289E-09</v>
      </c>
      <c r="D52" s="3">
        <f>A52*LN($C$9/$L$10)/(LN($C$8/$L$10))</f>
        <v>40.772086166720435</v>
      </c>
      <c r="E52" s="6">
        <f t="shared" si="2"/>
        <v>40496.53540402601</v>
      </c>
      <c r="F52" s="22">
        <f t="shared" si="3"/>
        <v>123.43343991147128</v>
      </c>
      <c r="G52" s="22">
        <f t="shared" si="4"/>
        <v>0</v>
      </c>
      <c r="H52" s="8">
        <f>C52*G52</f>
        <v>0</v>
      </c>
    </row>
    <row r="53" spans="1:8" ht="12.75">
      <c r="A53" s="4">
        <v>38</v>
      </c>
      <c r="B53" s="5">
        <f t="shared" si="5"/>
        <v>3.4509454258442463E-14</v>
      </c>
      <c r="C53" s="6">
        <f t="shared" si="1"/>
        <v>3.02302819303956E-10</v>
      </c>
      <c r="D53" s="3">
        <f>A53*LN($C$9/$L$10)/(LN($C$8/$L$10))</f>
        <v>41.87403444149666</v>
      </c>
      <c r="E53" s="6">
        <f t="shared" si="2"/>
        <v>43869.581084826474</v>
      </c>
      <c r="F53" s="22">
        <f t="shared" si="3"/>
        <v>133.7144831465511</v>
      </c>
      <c r="G53" s="22">
        <f t="shared" si="4"/>
        <v>0</v>
      </c>
      <c r="H53" s="8">
        <f>C53*G53</f>
        <v>0</v>
      </c>
    </row>
    <row r="54" spans="1:8" ht="12.75">
      <c r="A54" s="4">
        <v>39</v>
      </c>
      <c r="B54" s="5">
        <f t="shared" si="5"/>
        <v>6.601714607653669E-15</v>
      </c>
      <c r="C54" s="6">
        <f t="shared" si="1"/>
        <v>5.7831019963046136E-11</v>
      </c>
      <c r="D54" s="3">
        <f>A54*LN($C$9/$L$10)/(LN($C$8/$L$10))</f>
        <v>42.97598271627289</v>
      </c>
      <c r="E54" s="6">
        <f t="shared" si="2"/>
        <v>47424.91034354172</v>
      </c>
      <c r="F54" s="22">
        <f t="shared" si="3"/>
        <v>144.55112672711516</v>
      </c>
      <c r="G54" s="22">
        <f t="shared" si="4"/>
        <v>0</v>
      </c>
      <c r="H54" s="8">
        <f>C54*G54</f>
        <v>0</v>
      </c>
    </row>
    <row r="55" spans="1:8" ht="12.75">
      <c r="A55" s="4">
        <v>40</v>
      </c>
      <c r="B55" s="5">
        <f t="shared" si="5"/>
        <v>1.2082035367072602E-15</v>
      </c>
      <c r="C55" s="6">
        <f t="shared" si="1"/>
        <v>1.0583862981555599E-11</v>
      </c>
      <c r="D55" s="3">
        <f>A55*LN($C$9/$L$10)/(LN($C$8/$L$10))</f>
        <v>44.077930991049115</v>
      </c>
      <c r="E55" s="6">
        <f t="shared" si="2"/>
        <v>51167.320116432675</v>
      </c>
      <c r="F55" s="22">
        <f t="shared" si="3"/>
        <v>155.9579917148868</v>
      </c>
      <c r="G55" s="22">
        <f t="shared" si="4"/>
        <v>0</v>
      </c>
      <c r="H55" s="8">
        <f>C55*G55</f>
        <v>0</v>
      </c>
    </row>
    <row r="56" spans="1:8" ht="12.75">
      <c r="A56" s="4">
        <v>41</v>
      </c>
      <c r="B56" s="5">
        <f t="shared" si="5"/>
        <v>2.1154475843421914E-16</v>
      </c>
      <c r="C56" s="6">
        <f t="shared" si="1"/>
        <v>1.8531320838837596E-12</v>
      </c>
      <c r="D56" s="3">
        <f>A56*LN($C$9/$L$10)/(LN($C$8/$L$10))</f>
        <v>45.17987926582534</v>
      </c>
      <c r="E56" s="6">
        <f t="shared" si="2"/>
        <v>55101.60733976025</v>
      </c>
      <c r="F56" s="22">
        <f t="shared" si="3"/>
        <v>167.94969917158926</v>
      </c>
      <c r="G56" s="22">
        <f t="shared" si="4"/>
        <v>0</v>
      </c>
      <c r="H56" s="8">
        <f>C56*G56</f>
        <v>0</v>
      </c>
    </row>
    <row r="57" spans="1:8" ht="12.75">
      <c r="A57" s="4">
        <v>42</v>
      </c>
      <c r="B57" s="5">
        <f t="shared" si="5"/>
        <v>3.5436949696986777E-17</v>
      </c>
      <c r="C57" s="6">
        <f t="shared" si="1"/>
        <v>3.1042767934560414E-13</v>
      </c>
      <c r="D57" s="3">
        <f>A57*LN($C$9/$L$10)/(LN($C$8/$L$10))</f>
        <v>46.28182754060157</v>
      </c>
      <c r="E57" s="6">
        <f t="shared" si="2"/>
        <v>59232.56894978535</v>
      </c>
      <c r="F57" s="22">
        <f t="shared" si="3"/>
        <v>180.54087015894575</v>
      </c>
      <c r="G57" s="22">
        <f t="shared" si="4"/>
        <v>0</v>
      </c>
      <c r="H57" s="8">
        <f>C57*G57</f>
        <v>0</v>
      </c>
    </row>
    <row r="58" spans="1:8" ht="12.75">
      <c r="A58" s="4">
        <v>43</v>
      </c>
      <c r="B58" s="5">
        <f t="shared" si="5"/>
        <v>5.679556903260563E-18</v>
      </c>
      <c r="C58" s="6">
        <f t="shared" si="1"/>
        <v>4.975291847256253E-14</v>
      </c>
      <c r="D58" s="3">
        <f>A58*LN($C$9/$L$10)/(LN($C$8/$L$10))</f>
        <v>47.383775815377795</v>
      </c>
      <c r="E58" s="6">
        <f t="shared" si="2"/>
        <v>63565.001882768935</v>
      </c>
      <c r="F58" s="22">
        <f t="shared" si="3"/>
        <v>193.74612573867972</v>
      </c>
      <c r="G58" s="22">
        <f t="shared" si="4"/>
        <v>0</v>
      </c>
      <c r="H58" s="8">
        <f>C58*G58</f>
        <v>0</v>
      </c>
    </row>
    <row r="59" spans="1:8" ht="12.75">
      <c r="A59" s="4">
        <v>44</v>
      </c>
      <c r="B59" s="5">
        <f t="shared" si="5"/>
        <v>8.709394488881628E-19</v>
      </c>
      <c r="C59" s="6">
        <f t="shared" si="1"/>
        <v>7.629429572260307E-15</v>
      </c>
      <c r="D59" s="3">
        <f>A59*LN($C$9/$L$10)/(LN($C$8/$L$10))</f>
        <v>48.48572409015403</v>
      </c>
      <c r="E59" s="6">
        <f t="shared" si="2"/>
        <v>68103.7030749719</v>
      </c>
      <c r="F59" s="22">
        <f t="shared" si="3"/>
        <v>207.58008697251435</v>
      </c>
      <c r="G59" s="22">
        <f t="shared" si="4"/>
        <v>0</v>
      </c>
      <c r="H59" s="8">
        <f>C59*G59</f>
        <v>0</v>
      </c>
    </row>
    <row r="60" spans="1:8" ht="12.75">
      <c r="A60" s="4">
        <v>45</v>
      </c>
      <c r="B60" s="5">
        <f t="shared" si="5"/>
        <v>1.2778721762687095E-19</v>
      </c>
      <c r="C60" s="6">
        <f t="shared" si="1"/>
        <v>1.1194160264113896E-15</v>
      </c>
      <c r="D60" s="3">
        <f>A60*LN($C$9/$L$10)/(LN($C$8/$L$10))</f>
        <v>49.587672364930256</v>
      </c>
      <c r="E60" s="6">
        <f t="shared" si="2"/>
        <v>72853.46946265512</v>
      </c>
      <c r="F60" s="22">
        <f t="shared" si="3"/>
        <v>222.0573749221728</v>
      </c>
      <c r="G60" s="22">
        <f t="shared" si="4"/>
        <v>0</v>
      </c>
      <c r="H60" s="8">
        <f>C60*G60</f>
        <v>0</v>
      </c>
    </row>
    <row r="61" spans="1:8" ht="12.75">
      <c r="A61" s="4">
        <v>46</v>
      </c>
      <c r="B61" s="5">
        <f t="shared" si="5"/>
        <v>1.7940009765044807E-20</v>
      </c>
      <c r="C61" s="6">
        <f t="shared" si="1"/>
        <v>1.571544855417925E-16</v>
      </c>
      <c r="D61" s="3">
        <f>A61*LN($C$9/$L$10)/(LN($C$8/$L$10))</f>
        <v>50.68962063970648</v>
      </c>
      <c r="E61" s="6">
        <f t="shared" si="2"/>
        <v>77819.09798207955</v>
      </c>
      <c r="F61" s="22">
        <f t="shared" si="3"/>
        <v>237.19261064937848</v>
      </c>
      <c r="G61" s="22">
        <f t="shared" si="4"/>
        <v>0</v>
      </c>
      <c r="H61" s="8">
        <f>C61*G61</f>
        <v>0</v>
      </c>
    </row>
    <row r="62" spans="1:8" ht="12.75">
      <c r="A62" s="4">
        <v>47</v>
      </c>
      <c r="B62" s="5">
        <f t="shared" si="5"/>
        <v>2.4099219250306247E-21</v>
      </c>
      <c r="C62" s="6">
        <f t="shared" si="1"/>
        <v>2.111091606326827E-17</v>
      </c>
      <c r="D62" s="3">
        <f>A62*LN($C$9/$L$10)/(LN($C$8/$L$10))</f>
        <v>51.7915689144827</v>
      </c>
      <c r="E62" s="6">
        <f t="shared" si="2"/>
        <v>83005.38556950605</v>
      </c>
      <c r="F62" s="22">
        <f t="shared" si="3"/>
        <v>253.00041521585445</v>
      </c>
      <c r="G62" s="22">
        <f t="shared" si="4"/>
        <v>0</v>
      </c>
      <c r="H62" s="8">
        <f>C62*G62</f>
        <v>0</v>
      </c>
    </row>
    <row r="63" spans="1:8" ht="12.75">
      <c r="A63" s="4">
        <v>48</v>
      </c>
      <c r="B63" s="5">
        <f t="shared" si="5"/>
        <v>3.09768285594037E-22</v>
      </c>
      <c r="C63" s="6">
        <f t="shared" si="1"/>
        <v>2.7135701818037642E-18</v>
      </c>
      <c r="D63" s="3">
        <f>A63*LN($C$9/$L$10)/(LN($C$8/$L$10))</f>
        <v>52.89351718925894</v>
      </c>
      <c r="E63" s="6">
        <f t="shared" si="2"/>
        <v>88417.12916119565</v>
      </c>
      <c r="F63" s="22">
        <f t="shared" si="3"/>
        <v>269.49540968332434</v>
      </c>
      <c r="G63" s="22">
        <f t="shared" si="4"/>
        <v>0</v>
      </c>
      <c r="H63" s="8">
        <f>C63*G63</f>
        <v>0</v>
      </c>
    </row>
    <row r="64" spans="1:8" ht="12.75">
      <c r="A64" s="4">
        <v>49</v>
      </c>
      <c r="B64" s="5">
        <f t="shared" si="5"/>
        <v>3.8100679679148553E-23</v>
      </c>
      <c r="C64" s="6">
        <f t="shared" si="1"/>
        <v>3.3376195398934135E-19</v>
      </c>
      <c r="D64" s="3">
        <f>A64*LN($C$9/$L$10)/(LN($C$8/$L$10))</f>
        <v>53.99546546403517</v>
      </c>
      <c r="E64" s="6">
        <f t="shared" si="2"/>
        <v>94059.1256934092</v>
      </c>
      <c r="F64" s="22">
        <f t="shared" si="3"/>
        <v>286.6922151135112</v>
      </c>
      <c r="G64" s="22">
        <f t="shared" si="4"/>
        <v>0</v>
      </c>
      <c r="H64" s="8">
        <f>C64*G64</f>
        <v>0</v>
      </c>
    </row>
    <row r="65" spans="1:8" ht="12.75">
      <c r="A65" s="4">
        <v>50</v>
      </c>
      <c r="B65" s="5">
        <f t="shared" si="5"/>
        <v>4.484333505802977E-24</v>
      </c>
      <c r="C65" s="6">
        <f t="shared" si="1"/>
        <v>3.928276151083408E-20</v>
      </c>
      <c r="D65" s="3">
        <f>A65*LN($C$9/$L$10)/(LN($C$8/$L$10))</f>
        <v>55.09741373881139</v>
      </c>
      <c r="E65" s="6">
        <f t="shared" si="2"/>
        <v>99936.17210240755</v>
      </c>
      <c r="F65" s="22">
        <f t="shared" si="3"/>
        <v>304.6054525681383</v>
      </c>
      <c r="G65" s="22">
        <f t="shared" si="4"/>
        <v>0</v>
      </c>
      <c r="H65" s="8">
        <f>C65*G65</f>
        <v>0</v>
      </c>
    </row>
    <row r="66" spans="1:8" ht="12.75">
      <c r="A66" s="1"/>
      <c r="H66" s="9"/>
    </row>
    <row r="67" spans="1:8" ht="12.75">
      <c r="A67" s="1"/>
      <c r="F67" s="2"/>
      <c r="G67" s="11" t="s">
        <v>2</v>
      </c>
      <c r="H67" s="10">
        <f>SUM(H16:H66)</f>
        <v>2044.1685038496962</v>
      </c>
    </row>
  </sheetData>
  <mergeCells count="4">
    <mergeCell ref="E9:G9"/>
    <mergeCell ref="E10:G10"/>
    <mergeCell ref="E11:G11"/>
    <mergeCell ref="E12:G12"/>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Ford Motor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drober23</dc:creator>
  <cp:keywords/>
  <dc:description/>
  <cp:lastModifiedBy>drober23</cp:lastModifiedBy>
  <dcterms:created xsi:type="dcterms:W3CDTF">2006-05-22T14:54:24Z</dcterms:created>
  <dcterms:modified xsi:type="dcterms:W3CDTF">2006-05-24T18:33:33Z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